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asantia\Acueducto Sikuani\Trabajo Final\Memorias de Calculo\"/>
    </mc:Choice>
  </mc:AlternateContent>
  <xr:revisionPtr revIDLastSave="0" documentId="13_ncr:1_{67C95BE4-810B-4396-B5C4-40559618E4EE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Proyección Población" sheetId="3" r:id="rId1"/>
    <sheet name="Dotaciones - Caudales" sheetId="4" r:id="rId2"/>
    <sheet name="Diseño" sheetId="23" r:id="rId3"/>
    <sheet name="Cotas Nodos" sheetId="19" r:id="rId4"/>
    <sheet name="Cotas Accesorios" sheetId="25" r:id="rId5"/>
    <sheet name="Sectorización" sheetId="7" r:id="rId6"/>
    <sheet name="Hipótesis de distribución" sheetId="8" r:id="rId7"/>
    <sheet name="Hardy-Cross" sheetId="20" r:id="rId8"/>
    <sheet name="Malla 1" sheetId="21" r:id="rId9"/>
    <sheet name="Malla 2" sheetId="24" r:id="rId10"/>
    <sheet name="Accesorios" sheetId="27" r:id="rId11"/>
    <sheet name="Resultados Definitivos" sheetId="22" r:id="rId12"/>
    <sheet name="Tablas" sheetId="31" r:id="rId13"/>
    <sheet name="Bomba" sheetId="33" r:id="rId14"/>
  </sheets>
  <calcPr calcId="181029"/>
</workbook>
</file>

<file path=xl/calcChain.xml><?xml version="1.0" encoding="utf-8"?>
<calcChain xmlns="http://schemas.openxmlformats.org/spreadsheetml/2006/main">
  <c r="D50" i="33" l="1"/>
  <c r="D49" i="33"/>
  <c r="D48" i="33"/>
  <c r="D47" i="33"/>
  <c r="D46" i="33"/>
  <c r="D45" i="33"/>
  <c r="D44" i="33"/>
  <c r="D43" i="33"/>
  <c r="D42" i="33"/>
  <c r="D41" i="33"/>
  <c r="C41" i="33"/>
  <c r="D40" i="33"/>
  <c r="C40" i="33"/>
  <c r="D39" i="33"/>
  <c r="C39" i="33"/>
  <c r="D38" i="33"/>
  <c r="C38" i="33"/>
  <c r="D37" i="33"/>
  <c r="C37" i="33"/>
  <c r="D36" i="33"/>
  <c r="C36" i="33"/>
  <c r="D35" i="33"/>
  <c r="C35" i="33"/>
  <c r="D34" i="33"/>
  <c r="C34" i="33"/>
  <c r="D33" i="33"/>
  <c r="C33" i="33"/>
  <c r="D32" i="33"/>
  <c r="C32" i="33"/>
  <c r="D31" i="33"/>
  <c r="C31" i="33"/>
  <c r="D30" i="33"/>
  <c r="C30" i="33"/>
  <c r="D29" i="33"/>
  <c r="C29" i="33"/>
  <c r="O27" i="33"/>
  <c r="O26" i="33"/>
  <c r="P26" i="33" s="1"/>
  <c r="C25" i="33"/>
  <c r="C24" i="33"/>
  <c r="C23" i="33"/>
  <c r="C22" i="33"/>
  <c r="C21" i="33"/>
  <c r="C20" i="33"/>
  <c r="C19" i="33"/>
  <c r="C18" i="33"/>
  <c r="C17" i="33"/>
  <c r="C16" i="33"/>
  <c r="C15" i="33"/>
  <c r="C14" i="33"/>
  <c r="C13" i="33"/>
  <c r="C12" i="33"/>
  <c r="C11" i="33"/>
  <c r="C10" i="33"/>
  <c r="C9" i="33"/>
  <c r="C8" i="33"/>
  <c r="C7" i="33"/>
  <c r="C6" i="33"/>
  <c r="C5" i="33"/>
  <c r="C4" i="33"/>
  <c r="C3" i="33"/>
  <c r="B3" i="33"/>
  <c r="F3" i="33" s="1"/>
  <c r="J3" i="33" s="1"/>
  <c r="F4" i="33" l="1"/>
  <c r="D4" i="33"/>
  <c r="E4" i="33" s="1"/>
  <c r="F8" i="33"/>
  <c r="D8" i="33"/>
  <c r="E8" i="33" s="1"/>
  <c r="P27" i="33"/>
  <c r="O28" i="33" s="1"/>
  <c r="O29" i="33" s="1"/>
  <c r="O30" i="33" s="1"/>
  <c r="D3" i="33"/>
  <c r="E3" i="33" s="1"/>
  <c r="F5" i="33"/>
  <c r="D5" i="33"/>
  <c r="E5" i="33" s="1"/>
  <c r="F7" i="33"/>
  <c r="D7" i="33"/>
  <c r="E7" i="33" s="1"/>
  <c r="F9" i="33"/>
  <c r="D9" i="33"/>
  <c r="E9" i="33" s="1"/>
  <c r="F11" i="33"/>
  <c r="D11" i="33"/>
  <c r="E11" i="33" s="1"/>
  <c r="F13" i="33"/>
  <c r="D13" i="33"/>
  <c r="E13" i="33" s="1"/>
  <c r="F15" i="33"/>
  <c r="D15" i="33"/>
  <c r="E15" i="33" s="1"/>
  <c r="F17" i="33"/>
  <c r="D17" i="33"/>
  <c r="E17" i="33" s="1"/>
  <c r="F19" i="33"/>
  <c r="D19" i="33"/>
  <c r="E19" i="33" s="1"/>
  <c r="F21" i="33"/>
  <c r="D21" i="33"/>
  <c r="E21" i="33" s="1"/>
  <c r="F23" i="33"/>
  <c r="D23" i="33"/>
  <c r="E23" i="33" s="1"/>
  <c r="F25" i="33"/>
  <c r="D25" i="33"/>
  <c r="E25" i="33" s="1"/>
  <c r="F6" i="33"/>
  <c r="D6" i="33"/>
  <c r="E6" i="33" s="1"/>
  <c r="F10" i="33"/>
  <c r="D10" i="33"/>
  <c r="E10" i="33" s="1"/>
  <c r="F12" i="33"/>
  <c r="D12" i="33"/>
  <c r="E12" i="33" s="1"/>
  <c r="F14" i="33"/>
  <c r="D14" i="33"/>
  <c r="E14" i="33" s="1"/>
  <c r="F16" i="33"/>
  <c r="D16" i="33"/>
  <c r="E16" i="33" s="1"/>
  <c r="F18" i="33"/>
  <c r="D18" i="33"/>
  <c r="E18" i="33" s="1"/>
  <c r="F20" i="33"/>
  <c r="D20" i="33"/>
  <c r="E20" i="33" s="1"/>
  <c r="F22" i="33"/>
  <c r="D22" i="33"/>
  <c r="E22" i="33" s="1"/>
  <c r="F24" i="33"/>
  <c r="D24" i="33"/>
  <c r="E24" i="33" s="1"/>
  <c r="H3" i="33"/>
  <c r="K3" i="33" s="1"/>
  <c r="L3" i="33" s="1"/>
  <c r="I28" i="31"/>
  <c r="G28" i="31"/>
  <c r="F32" i="31" s="1"/>
  <c r="J32" i="31"/>
  <c r="H32" i="31"/>
  <c r="D32" i="31"/>
  <c r="P26" i="31"/>
  <c r="O26" i="31"/>
  <c r="W20" i="31"/>
  <c r="W19" i="31"/>
  <c r="W18" i="31"/>
  <c r="W17" i="31"/>
  <c r="W16" i="31"/>
  <c r="W15" i="31"/>
  <c r="W14" i="31"/>
  <c r="W13" i="31"/>
  <c r="W12" i="31"/>
  <c r="W11" i="31"/>
  <c r="W10" i="31"/>
  <c r="W9" i="31"/>
  <c r="O8" i="31"/>
  <c r="J20" i="33" l="1"/>
  <c r="K20" i="33" s="1"/>
  <c r="L20" i="33" s="1"/>
  <c r="E45" i="33" s="1"/>
  <c r="H20" i="33"/>
  <c r="J12" i="33"/>
  <c r="H12" i="33"/>
  <c r="J6" i="33"/>
  <c r="K6" i="33" s="1"/>
  <c r="L6" i="33" s="1"/>
  <c r="E31" i="33" s="1"/>
  <c r="H6" i="33"/>
  <c r="J15" i="33"/>
  <c r="H15" i="33"/>
  <c r="J7" i="33"/>
  <c r="K7" i="33" s="1"/>
  <c r="L7" i="33" s="1"/>
  <c r="E32" i="33" s="1"/>
  <c r="H7" i="33"/>
  <c r="J4" i="33"/>
  <c r="H4" i="33"/>
  <c r="J8" i="33"/>
  <c r="K8" i="33" s="1"/>
  <c r="L8" i="33" s="1"/>
  <c r="E33" i="33" s="1"/>
  <c r="H8" i="33"/>
  <c r="J24" i="33"/>
  <c r="H24" i="33"/>
  <c r="J16" i="33"/>
  <c r="K16" i="33" s="1"/>
  <c r="L16" i="33" s="1"/>
  <c r="E41" i="33" s="1"/>
  <c r="H16" i="33"/>
  <c r="J23" i="33"/>
  <c r="H23" i="33"/>
  <c r="J19" i="33"/>
  <c r="K19" i="33" s="1"/>
  <c r="L19" i="33" s="1"/>
  <c r="E44" i="33" s="1"/>
  <c r="H19" i="33"/>
  <c r="J11" i="33"/>
  <c r="H11" i="33"/>
  <c r="J22" i="33"/>
  <c r="K22" i="33" s="1"/>
  <c r="L22" i="33" s="1"/>
  <c r="E47" i="33" s="1"/>
  <c r="H22" i="33"/>
  <c r="J18" i="33"/>
  <c r="H18" i="33"/>
  <c r="J14" i="33"/>
  <c r="K14" i="33" s="1"/>
  <c r="L14" i="33" s="1"/>
  <c r="E39" i="33" s="1"/>
  <c r="H14" i="33"/>
  <c r="J10" i="33"/>
  <c r="H10" i="33"/>
  <c r="J25" i="33"/>
  <c r="K25" i="33" s="1"/>
  <c r="L25" i="33" s="1"/>
  <c r="E50" i="33" s="1"/>
  <c r="H25" i="33"/>
  <c r="J21" i="33"/>
  <c r="H21" i="33"/>
  <c r="J17" i="33"/>
  <c r="K17" i="33" s="1"/>
  <c r="L17" i="33" s="1"/>
  <c r="E42" i="33" s="1"/>
  <c r="H17" i="33"/>
  <c r="J13" i="33"/>
  <c r="H13" i="33"/>
  <c r="J9" i="33"/>
  <c r="K9" i="33" s="1"/>
  <c r="L9" i="33" s="1"/>
  <c r="E34" i="33" s="1"/>
  <c r="H9" i="33"/>
  <c r="J5" i="33"/>
  <c r="H5" i="33"/>
  <c r="G9" i="27"/>
  <c r="K5" i="33" l="1"/>
  <c r="L5" i="33" s="1"/>
  <c r="E30" i="33" s="1"/>
  <c r="K13" i="33"/>
  <c r="L13" i="33" s="1"/>
  <c r="E38" i="33" s="1"/>
  <c r="K21" i="33"/>
  <c r="L21" i="33" s="1"/>
  <c r="E46" i="33" s="1"/>
  <c r="K10" i="33"/>
  <c r="L10" i="33" s="1"/>
  <c r="E35" i="33" s="1"/>
  <c r="K18" i="33"/>
  <c r="L18" i="33" s="1"/>
  <c r="E43" i="33" s="1"/>
  <c r="K11" i="33"/>
  <c r="L11" i="33" s="1"/>
  <c r="E36" i="33" s="1"/>
  <c r="K23" i="33"/>
  <c r="L23" i="33" s="1"/>
  <c r="E48" i="33" s="1"/>
  <c r="K24" i="33"/>
  <c r="L24" i="33" s="1"/>
  <c r="E49" i="33" s="1"/>
  <c r="K4" i="33"/>
  <c r="L4" i="33" s="1"/>
  <c r="E29" i="33" s="1"/>
  <c r="K15" i="33"/>
  <c r="L15" i="33" s="1"/>
  <c r="E40" i="33" s="1"/>
  <c r="K12" i="33"/>
  <c r="L12" i="33" s="1"/>
  <c r="E37" i="33" s="1"/>
  <c r="G40" i="27"/>
  <c r="G41" i="27"/>
  <c r="G38" i="27" l="1"/>
  <c r="G36" i="27"/>
  <c r="G35" i="27"/>
  <c r="G32" i="27"/>
  <c r="G30" i="27"/>
  <c r="G29" i="27"/>
  <c r="G25" i="27"/>
  <c r="G22" i="27"/>
  <c r="G19" i="27"/>
  <c r="G17" i="27" l="1"/>
  <c r="G15" i="27"/>
  <c r="G13" i="27"/>
  <c r="G10" i="27"/>
  <c r="G11" i="27"/>
  <c r="G12" i="27"/>
  <c r="G14" i="27"/>
  <c r="G16" i="27"/>
  <c r="G18" i="27"/>
  <c r="G20" i="27"/>
  <c r="G21" i="27"/>
  <c r="G23" i="27"/>
  <c r="G24" i="27"/>
  <c r="G26" i="27"/>
  <c r="G27" i="27"/>
  <c r="G28" i="27"/>
  <c r="G31" i="27"/>
  <c r="G33" i="27"/>
  <c r="G34" i="27"/>
  <c r="G37" i="27"/>
  <c r="G39" i="27"/>
  <c r="G8" i="27"/>
  <c r="D13" i="20" l="1"/>
  <c r="C13" i="21" s="1"/>
  <c r="C30" i="21" s="1"/>
  <c r="C47" i="21" s="1"/>
  <c r="C64" i="21" s="1"/>
  <c r="C81" i="21" s="1"/>
  <c r="C98" i="21" s="1"/>
  <c r="C115" i="21" s="1"/>
  <c r="C132" i="21" s="1"/>
  <c r="C149" i="21" s="1"/>
  <c r="C166" i="21" s="1"/>
  <c r="C183" i="21" s="1"/>
  <c r="C200" i="21" s="1"/>
  <c r="C217" i="21" s="1"/>
  <c r="C234" i="21" s="1"/>
  <c r="C251" i="21" s="1"/>
  <c r="C14" i="22" s="1"/>
  <c r="O14" i="31" s="1"/>
  <c r="D17" i="20"/>
  <c r="C17" i="21" s="1"/>
  <c r="C34" i="21" s="1"/>
  <c r="C51" i="21" s="1"/>
  <c r="C68" i="21" s="1"/>
  <c r="C85" i="21" s="1"/>
  <c r="C102" i="21" s="1"/>
  <c r="C119" i="21" s="1"/>
  <c r="C136" i="21" s="1"/>
  <c r="C153" i="21" s="1"/>
  <c r="C170" i="21" s="1"/>
  <c r="C187" i="21" s="1"/>
  <c r="C204" i="21" s="1"/>
  <c r="C221" i="21" s="1"/>
  <c r="C238" i="21" s="1"/>
  <c r="C255" i="21" s="1"/>
  <c r="C18" i="22" s="1"/>
  <c r="O18" i="31" s="1"/>
  <c r="D18" i="20"/>
  <c r="C18" i="21" s="1"/>
  <c r="C35" i="21" s="1"/>
  <c r="C52" i="21" s="1"/>
  <c r="C69" i="21" s="1"/>
  <c r="C86" i="21" s="1"/>
  <c r="C103" i="21" s="1"/>
  <c r="C120" i="21" s="1"/>
  <c r="C137" i="21" s="1"/>
  <c r="C154" i="21" s="1"/>
  <c r="C171" i="21" s="1"/>
  <c r="C188" i="21" s="1"/>
  <c r="C205" i="21" s="1"/>
  <c r="C222" i="21" s="1"/>
  <c r="C239" i="21" s="1"/>
  <c r="C256" i="21" s="1"/>
  <c r="C19" i="22" s="1"/>
  <c r="O19" i="31" s="1"/>
  <c r="D21" i="20"/>
  <c r="C10" i="24" s="1"/>
  <c r="C22" i="24" s="1"/>
  <c r="C34" i="24" s="1"/>
  <c r="C46" i="24" s="1"/>
  <c r="C58" i="24" s="1"/>
  <c r="C70" i="24" s="1"/>
  <c r="C82" i="24" s="1"/>
  <c r="C94" i="24" s="1"/>
  <c r="C106" i="24" s="1"/>
  <c r="C118" i="24" s="1"/>
  <c r="C130" i="24" s="1"/>
  <c r="C142" i="24" s="1"/>
  <c r="C154" i="24" s="1"/>
  <c r="C166" i="24" s="1"/>
  <c r="C22" i="22" s="1"/>
  <c r="O22" i="31" s="1"/>
  <c r="G23" i="7"/>
  <c r="D24" i="20" s="1"/>
  <c r="C13" i="24" s="1"/>
  <c r="C25" i="24" s="1"/>
  <c r="C37" i="24" s="1"/>
  <c r="C49" i="24" s="1"/>
  <c r="C61" i="24" s="1"/>
  <c r="C73" i="24" s="1"/>
  <c r="C85" i="24" s="1"/>
  <c r="C97" i="24" s="1"/>
  <c r="C109" i="24" s="1"/>
  <c r="C121" i="24" s="1"/>
  <c r="C133" i="24" s="1"/>
  <c r="C145" i="24" s="1"/>
  <c r="C157" i="24" s="1"/>
  <c r="C169" i="24" s="1"/>
  <c r="C25" i="22" s="1"/>
  <c r="O25" i="31" s="1"/>
  <c r="G22" i="7"/>
  <c r="D23" i="20" s="1"/>
  <c r="C12" i="24" s="1"/>
  <c r="C24" i="24" s="1"/>
  <c r="C36" i="24" s="1"/>
  <c r="C48" i="24" s="1"/>
  <c r="C60" i="24" s="1"/>
  <c r="C72" i="24" s="1"/>
  <c r="C84" i="24" s="1"/>
  <c r="C96" i="24" s="1"/>
  <c r="C108" i="24" s="1"/>
  <c r="C120" i="24" s="1"/>
  <c r="C132" i="24" s="1"/>
  <c r="C144" i="24" s="1"/>
  <c r="C156" i="24" s="1"/>
  <c r="C168" i="24" s="1"/>
  <c r="C24" i="22" s="1"/>
  <c r="O24" i="31" s="1"/>
  <c r="G21" i="7"/>
  <c r="D22" i="20" s="1"/>
  <c r="C11" i="24" s="1"/>
  <c r="C23" i="24" s="1"/>
  <c r="C35" i="24" s="1"/>
  <c r="C47" i="24" s="1"/>
  <c r="C59" i="24" s="1"/>
  <c r="C71" i="24" s="1"/>
  <c r="C83" i="24" s="1"/>
  <c r="C95" i="24" s="1"/>
  <c r="C107" i="24" s="1"/>
  <c r="C119" i="24" s="1"/>
  <c r="C131" i="24" s="1"/>
  <c r="C143" i="24" s="1"/>
  <c r="C155" i="24" s="1"/>
  <c r="C167" i="24" s="1"/>
  <c r="C23" i="22" s="1"/>
  <c r="O23" i="31" s="1"/>
  <c r="G19" i="7"/>
  <c r="D20" i="20" s="1"/>
  <c r="C9" i="24" s="1"/>
  <c r="C21" i="24" s="1"/>
  <c r="C33" i="24" s="1"/>
  <c r="C45" i="24" s="1"/>
  <c r="C57" i="24" s="1"/>
  <c r="C69" i="24" s="1"/>
  <c r="C81" i="24" s="1"/>
  <c r="C93" i="24" s="1"/>
  <c r="C105" i="24" s="1"/>
  <c r="C117" i="24" s="1"/>
  <c r="C129" i="24" s="1"/>
  <c r="C141" i="24" s="1"/>
  <c r="C153" i="24" s="1"/>
  <c r="C165" i="24" s="1"/>
  <c r="C21" i="22" s="1"/>
  <c r="O20" i="31" s="1"/>
  <c r="G18" i="7"/>
  <c r="D19" i="20" s="1"/>
  <c r="C8" i="24" s="1"/>
  <c r="C20" i="24" s="1"/>
  <c r="C32" i="24" s="1"/>
  <c r="C44" i="24" s="1"/>
  <c r="C56" i="24" s="1"/>
  <c r="C68" i="24" s="1"/>
  <c r="C80" i="24" s="1"/>
  <c r="C92" i="24" s="1"/>
  <c r="C104" i="24" s="1"/>
  <c r="C116" i="24" s="1"/>
  <c r="C128" i="24" s="1"/>
  <c r="C140" i="24" s="1"/>
  <c r="C152" i="24" s="1"/>
  <c r="C164" i="24" s="1"/>
  <c r="C20" i="22" s="1"/>
  <c r="G15" i="7"/>
  <c r="D16" i="20" s="1"/>
  <c r="C16" i="21" s="1"/>
  <c r="C33" i="21" s="1"/>
  <c r="C50" i="21" s="1"/>
  <c r="C67" i="21" s="1"/>
  <c r="C84" i="21" s="1"/>
  <c r="C101" i="21" s="1"/>
  <c r="C118" i="21" s="1"/>
  <c r="C135" i="21" s="1"/>
  <c r="C152" i="21" s="1"/>
  <c r="C169" i="21" s="1"/>
  <c r="C186" i="21" s="1"/>
  <c r="C203" i="21" s="1"/>
  <c r="C220" i="21" s="1"/>
  <c r="C237" i="21" s="1"/>
  <c r="C254" i="21" s="1"/>
  <c r="C17" i="22" s="1"/>
  <c r="O17" i="31" s="1"/>
  <c r="G14" i="7"/>
  <c r="D15" i="20" s="1"/>
  <c r="C15" i="21" s="1"/>
  <c r="C32" i="21" s="1"/>
  <c r="C49" i="21" s="1"/>
  <c r="C66" i="21" s="1"/>
  <c r="C83" i="21" s="1"/>
  <c r="C100" i="21" s="1"/>
  <c r="C117" i="21" s="1"/>
  <c r="C134" i="21" s="1"/>
  <c r="C151" i="21" s="1"/>
  <c r="C168" i="21" s="1"/>
  <c r="C185" i="21" s="1"/>
  <c r="C202" i="21" s="1"/>
  <c r="C219" i="21" s="1"/>
  <c r="C236" i="21" s="1"/>
  <c r="C253" i="21" s="1"/>
  <c r="C16" i="22" s="1"/>
  <c r="O16" i="31" s="1"/>
  <c r="G13" i="7" l="1"/>
  <c r="D14" i="20" s="1"/>
  <c r="C14" i="21" s="1"/>
  <c r="C31" i="21" s="1"/>
  <c r="C48" i="21" s="1"/>
  <c r="C65" i="21" s="1"/>
  <c r="C82" i="21" s="1"/>
  <c r="C99" i="21" s="1"/>
  <c r="C116" i="21" s="1"/>
  <c r="C133" i="21" s="1"/>
  <c r="C150" i="21" s="1"/>
  <c r="C167" i="21" s="1"/>
  <c r="C184" i="21" s="1"/>
  <c r="C201" i="21" s="1"/>
  <c r="C218" i="21" s="1"/>
  <c r="C235" i="21" s="1"/>
  <c r="C252" i="21" s="1"/>
  <c r="C15" i="22" s="1"/>
  <c r="O15" i="31" s="1"/>
  <c r="G11" i="7"/>
  <c r="D12" i="20" s="1"/>
  <c r="C12" i="21" s="1"/>
  <c r="C29" i="21" s="1"/>
  <c r="C46" i="21" s="1"/>
  <c r="C63" i="21" s="1"/>
  <c r="C80" i="21" s="1"/>
  <c r="C97" i="21" s="1"/>
  <c r="C114" i="21" s="1"/>
  <c r="C131" i="21" s="1"/>
  <c r="C148" i="21" s="1"/>
  <c r="C165" i="21" s="1"/>
  <c r="C182" i="21" s="1"/>
  <c r="C199" i="21" s="1"/>
  <c r="C216" i="21" s="1"/>
  <c r="C233" i="21" s="1"/>
  <c r="C250" i="21" s="1"/>
  <c r="C13" i="22" s="1"/>
  <c r="O13" i="31" s="1"/>
  <c r="G10" i="7"/>
  <c r="D11" i="20" s="1"/>
  <c r="C11" i="21" s="1"/>
  <c r="C28" i="21" s="1"/>
  <c r="C45" i="21" s="1"/>
  <c r="C62" i="21" s="1"/>
  <c r="C79" i="21" s="1"/>
  <c r="C96" i="21" s="1"/>
  <c r="C113" i="21" s="1"/>
  <c r="C130" i="21" s="1"/>
  <c r="C147" i="21" s="1"/>
  <c r="C164" i="21" s="1"/>
  <c r="C181" i="21" s="1"/>
  <c r="C198" i="21" s="1"/>
  <c r="C215" i="21" s="1"/>
  <c r="C232" i="21" s="1"/>
  <c r="C249" i="21" s="1"/>
  <c r="C12" i="22" s="1"/>
  <c r="O12" i="31" s="1"/>
  <c r="G9" i="7"/>
  <c r="D10" i="20" s="1"/>
  <c r="C10" i="21" s="1"/>
  <c r="C27" i="21" s="1"/>
  <c r="C44" i="21" s="1"/>
  <c r="C61" i="21" s="1"/>
  <c r="C78" i="21" s="1"/>
  <c r="C95" i="21" s="1"/>
  <c r="C112" i="21" s="1"/>
  <c r="C129" i="21" s="1"/>
  <c r="C146" i="21" s="1"/>
  <c r="C163" i="21" s="1"/>
  <c r="C180" i="21" s="1"/>
  <c r="C197" i="21" s="1"/>
  <c r="C214" i="21" s="1"/>
  <c r="C231" i="21" s="1"/>
  <c r="C248" i="21" s="1"/>
  <c r="C11" i="22" s="1"/>
  <c r="O11" i="31" s="1"/>
  <c r="G8" i="7"/>
  <c r="D9" i="20" s="1"/>
  <c r="C9" i="21" s="1"/>
  <c r="C26" i="21" s="1"/>
  <c r="C43" i="21" s="1"/>
  <c r="C60" i="21" s="1"/>
  <c r="C77" i="21" s="1"/>
  <c r="C94" i="21" s="1"/>
  <c r="C111" i="21" s="1"/>
  <c r="C128" i="21" s="1"/>
  <c r="C145" i="21" s="1"/>
  <c r="C162" i="21" s="1"/>
  <c r="C179" i="21" s="1"/>
  <c r="C196" i="21" s="1"/>
  <c r="C213" i="21" s="1"/>
  <c r="C230" i="21" s="1"/>
  <c r="C247" i="21" s="1"/>
  <c r="C10" i="22" s="1"/>
  <c r="O10" i="31" s="1"/>
  <c r="G7" i="7"/>
  <c r="D8" i="20" s="1"/>
  <c r="C8" i="21" s="1"/>
  <c r="C25" i="21" s="1"/>
  <c r="C42" i="21" s="1"/>
  <c r="C59" i="21" s="1"/>
  <c r="C76" i="21" s="1"/>
  <c r="C93" i="21" s="1"/>
  <c r="C110" i="21" s="1"/>
  <c r="C127" i="21" s="1"/>
  <c r="C144" i="21" s="1"/>
  <c r="C161" i="21" s="1"/>
  <c r="C178" i="21" s="1"/>
  <c r="C195" i="21" s="1"/>
  <c r="C212" i="21" s="1"/>
  <c r="C229" i="21" s="1"/>
  <c r="C246" i="21" s="1"/>
  <c r="C9" i="22" s="1"/>
  <c r="O9" i="31" s="1"/>
  <c r="Q28" i="31" s="1"/>
  <c r="L80" i="25"/>
  <c r="O80" i="25" s="1"/>
  <c r="D96" i="25" l="1"/>
  <c r="G96" i="25" s="1"/>
  <c r="D68" i="25"/>
  <c r="G68" i="25" s="1"/>
  <c r="D72" i="19"/>
  <c r="G72" i="19" s="1"/>
  <c r="L20" i="7" s="1"/>
  <c r="D68" i="19"/>
  <c r="G68" i="19" s="1"/>
  <c r="L17" i="7" s="1"/>
  <c r="O22" i="22" l="1"/>
  <c r="O19" i="22"/>
  <c r="O15" i="22"/>
  <c r="L76" i="25"/>
  <c r="O76" i="25" s="1"/>
  <c r="L72" i="25"/>
  <c r="O72" i="25" s="1"/>
  <c r="L68" i="25"/>
  <c r="O68" i="25" s="1"/>
  <c r="L64" i="25"/>
  <c r="O64" i="25" s="1"/>
  <c r="L60" i="25"/>
  <c r="O60" i="25" s="1"/>
  <c r="L56" i="25"/>
  <c r="O56" i="25" s="1"/>
  <c r="L52" i="25"/>
  <c r="O52" i="25" s="1"/>
  <c r="L48" i="25"/>
  <c r="O48" i="25" s="1"/>
  <c r="L44" i="25"/>
  <c r="O44" i="25" s="1"/>
  <c r="L40" i="25"/>
  <c r="O40" i="25" s="1"/>
  <c r="L36" i="25"/>
  <c r="O36" i="25" s="1"/>
  <c r="L32" i="25"/>
  <c r="O32" i="25" s="1"/>
  <c r="L28" i="25"/>
  <c r="O28" i="25" s="1"/>
  <c r="L24" i="25"/>
  <c r="O24" i="25" s="1"/>
  <c r="L20" i="25"/>
  <c r="O20" i="25" s="1"/>
  <c r="L16" i="25"/>
  <c r="O16" i="25" s="1"/>
  <c r="L12" i="25"/>
  <c r="O12" i="25" s="1"/>
  <c r="L8" i="25"/>
  <c r="O8" i="25" s="1"/>
  <c r="D64" i="25"/>
  <c r="G64" i="25" s="1"/>
  <c r="D52" i="25"/>
  <c r="G52" i="25" s="1"/>
  <c r="D52" i="19"/>
  <c r="G52" i="19" s="1"/>
  <c r="L18" i="7" s="1"/>
  <c r="C19" i="20" s="1"/>
  <c r="D104" i="25"/>
  <c r="G104" i="25" s="1"/>
  <c r="D100" i="25"/>
  <c r="G100" i="25" s="1"/>
  <c r="D92" i="25"/>
  <c r="G92" i="25" s="1"/>
  <c r="D88" i="25"/>
  <c r="G88" i="25" s="1"/>
  <c r="D84" i="25"/>
  <c r="G84" i="25" s="1"/>
  <c r="D80" i="25"/>
  <c r="G80" i="25" s="1"/>
  <c r="D76" i="25"/>
  <c r="G76" i="25" s="1"/>
  <c r="D72" i="25"/>
  <c r="G72" i="25" s="1"/>
  <c r="D60" i="25"/>
  <c r="G60" i="25" s="1"/>
  <c r="D56" i="25"/>
  <c r="G56" i="25" s="1"/>
  <c r="D48" i="25"/>
  <c r="G48" i="25" s="1"/>
  <c r="D44" i="25"/>
  <c r="G44" i="25" s="1"/>
  <c r="D40" i="25"/>
  <c r="G40" i="25" s="1"/>
  <c r="D36" i="25"/>
  <c r="G36" i="25" s="1"/>
  <c r="G32" i="25"/>
  <c r="D28" i="25"/>
  <c r="G28" i="25" s="1"/>
  <c r="D24" i="25"/>
  <c r="G24" i="25" s="1"/>
  <c r="D20" i="25"/>
  <c r="G20" i="25" s="1"/>
  <c r="D16" i="25"/>
  <c r="G16" i="25" s="1"/>
  <c r="D12" i="25"/>
  <c r="G12" i="25" s="1"/>
  <c r="D8" i="25"/>
  <c r="G8" i="25" s="1"/>
  <c r="O20" i="22" l="1"/>
  <c r="D28" i="23"/>
  <c r="D8" i="22" s="1"/>
  <c r="E8" i="22" s="1"/>
  <c r="P8" i="31" s="1"/>
  <c r="D19" i="23"/>
  <c r="I8" i="22" l="1"/>
  <c r="H8" i="7" l="1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7" i="7"/>
  <c r="H24" i="7" l="1"/>
  <c r="G64" i="19"/>
  <c r="L22" i="7" s="1"/>
  <c r="D60" i="19"/>
  <c r="G60" i="19" s="1"/>
  <c r="L21" i="7" s="1"/>
  <c r="D56" i="19"/>
  <c r="D48" i="19"/>
  <c r="G48" i="19" s="1"/>
  <c r="L16" i="7" s="1"/>
  <c r="D44" i="19"/>
  <c r="G44" i="19" s="1"/>
  <c r="L15" i="7" s="1"/>
  <c r="G40" i="19"/>
  <c r="L14" i="7" s="1"/>
  <c r="D36" i="19"/>
  <c r="D32" i="19"/>
  <c r="G32" i="19" s="1"/>
  <c r="L12" i="7" s="1"/>
  <c r="D28" i="19"/>
  <c r="G28" i="19" s="1"/>
  <c r="L11" i="7" s="1"/>
  <c r="D24" i="19"/>
  <c r="G24" i="19" s="1"/>
  <c r="L10" i="7" s="1"/>
  <c r="D20" i="19"/>
  <c r="D16" i="19"/>
  <c r="D12" i="19"/>
  <c r="G12" i="19" s="1"/>
  <c r="L7" i="7" s="1"/>
  <c r="D8" i="19"/>
  <c r="G8" i="19" s="1"/>
  <c r="O11" i="22" l="1"/>
  <c r="C11" i="20"/>
  <c r="O16" i="22"/>
  <c r="C16" i="20"/>
  <c r="O23" i="22"/>
  <c r="C22" i="20"/>
  <c r="E22" i="20" s="1"/>
  <c r="O8" i="22"/>
  <c r="C15" i="20"/>
  <c r="O12" i="22"/>
  <c r="C12" i="20"/>
  <c r="E12" i="20" s="1"/>
  <c r="O17" i="22"/>
  <c r="C17" i="20"/>
  <c r="E17" i="20" s="1"/>
  <c r="O25" i="22"/>
  <c r="O24" i="22"/>
  <c r="C24" i="20"/>
  <c r="E24" i="20" s="1"/>
  <c r="O13" i="22"/>
  <c r="O18" i="22"/>
  <c r="C18" i="20"/>
  <c r="G36" i="19"/>
  <c r="L13" i="7" s="1"/>
  <c r="C13" i="20" s="1"/>
  <c r="C23" i="20"/>
  <c r="E23" i="20" s="1"/>
  <c r="G56" i="19"/>
  <c r="L19" i="7" s="1"/>
  <c r="E11" i="20"/>
  <c r="G20" i="19"/>
  <c r="L9" i="7" s="1"/>
  <c r="G16" i="19"/>
  <c r="L8" i="7" s="1"/>
  <c r="O9" i="22" l="1"/>
  <c r="C9" i="20"/>
  <c r="E9" i="20" s="1"/>
  <c r="O21" i="22"/>
  <c r="C21" i="20"/>
  <c r="E21" i="20" s="1"/>
  <c r="C20" i="20"/>
  <c r="E20" i="20" s="1"/>
  <c r="O10" i="22"/>
  <c r="C10" i="20"/>
  <c r="E10" i="20" s="1"/>
  <c r="O14" i="22"/>
  <c r="C14" i="20"/>
  <c r="E14" i="20" s="1"/>
  <c r="C8" i="20"/>
  <c r="E13" i="20"/>
  <c r="E19" i="20"/>
  <c r="E18" i="20"/>
  <c r="E16" i="20"/>
  <c r="E15" i="20"/>
  <c r="E8" i="20"/>
  <c r="F9" i="4"/>
  <c r="E7" i="3"/>
  <c r="E8" i="3" l="1"/>
  <c r="J14" i="3" s="1"/>
  <c r="C16" i="4" s="1"/>
  <c r="C17" i="4" s="1"/>
  <c r="F16" i="4" l="1"/>
  <c r="J16" i="4" s="1"/>
  <c r="C10" i="23" s="1"/>
  <c r="G8" i="22" l="1"/>
  <c r="D23" i="23"/>
  <c r="D24" i="23" s="1"/>
  <c r="D25" i="23" s="1"/>
  <c r="D26" i="23" s="1"/>
  <c r="D32" i="23" s="1"/>
  <c r="D36" i="23" s="1"/>
  <c r="C5" i="7"/>
  <c r="L8" i="22" l="1"/>
  <c r="F43" i="23"/>
  <c r="H8" i="22"/>
  <c r="J8" i="22"/>
  <c r="C9" i="7"/>
  <c r="F14" i="8" s="1"/>
  <c r="F15" i="20" l="1"/>
  <c r="G15" i="20" s="1"/>
  <c r="K8" i="22"/>
  <c r="C8" i="27"/>
  <c r="H8" i="27" s="1"/>
  <c r="F7" i="8"/>
  <c r="F8" i="20" s="1"/>
  <c r="N7" i="7"/>
  <c r="M8" i="22" l="1"/>
  <c r="N8" i="22" s="1"/>
  <c r="P8" i="22" s="1"/>
  <c r="Q8" i="22" s="1"/>
  <c r="I8" i="27"/>
  <c r="G15" i="21"/>
  <c r="G8" i="20"/>
  <c r="G8" i="21" s="1"/>
  <c r="H8" i="20" l="1"/>
  <c r="I8" i="20" s="1"/>
  <c r="J8" i="20" s="1"/>
  <c r="D8" i="21" l="1"/>
  <c r="D25" i="21" s="1"/>
  <c r="D42" i="21" s="1"/>
  <c r="D59" i="21" s="1"/>
  <c r="D76" i="21" s="1"/>
  <c r="D93" i="21" s="1"/>
  <c r="D110" i="21" s="1"/>
  <c r="D127" i="21" s="1"/>
  <c r="D144" i="21" s="1"/>
  <c r="D161" i="21" s="1"/>
  <c r="D178" i="21" s="1"/>
  <c r="D195" i="21" s="1"/>
  <c r="D212" i="21" s="1"/>
  <c r="D229" i="21" s="1"/>
  <c r="D246" i="21" s="1"/>
  <c r="K8" i="20"/>
  <c r="L8" i="20" s="1"/>
  <c r="E8" i="21"/>
  <c r="E25" i="21" s="1"/>
  <c r="E42" i="21" s="1"/>
  <c r="E59" i="21" s="1"/>
  <c r="E76" i="21" s="1"/>
  <c r="E93" i="21" s="1"/>
  <c r="E110" i="21" s="1"/>
  <c r="E127" i="21" s="1"/>
  <c r="E144" i="21" s="1"/>
  <c r="E161" i="21" s="1"/>
  <c r="E178" i="21" s="1"/>
  <c r="E195" i="21" s="1"/>
  <c r="E212" i="21" s="1"/>
  <c r="E229" i="21" s="1"/>
  <c r="E246" i="21" s="1"/>
  <c r="F8" i="21" l="1"/>
  <c r="F25" i="21" s="1"/>
  <c r="F42" i="21" s="1"/>
  <c r="F59" i="21" s="1"/>
  <c r="F76" i="21" s="1"/>
  <c r="F93" i="21" s="1"/>
  <c r="F110" i="21" s="1"/>
  <c r="F127" i="21" s="1"/>
  <c r="F144" i="21" s="1"/>
  <c r="F161" i="21" s="1"/>
  <c r="F178" i="21" s="1"/>
  <c r="F195" i="21" s="1"/>
  <c r="F212" i="21" s="1"/>
  <c r="F229" i="21" s="1"/>
  <c r="F246" i="21" s="1"/>
  <c r="D9" i="22" s="1"/>
  <c r="M8" i="20"/>
  <c r="N8" i="20" s="1"/>
  <c r="H8" i="21" l="1"/>
  <c r="I8" i="21" s="1"/>
  <c r="J8" i="21" s="1"/>
  <c r="I9" i="22" l="1"/>
  <c r="E9" i="22"/>
  <c r="P9" i="31" s="1"/>
  <c r="C10" i="7"/>
  <c r="I17" i="7" l="1"/>
  <c r="I19" i="7"/>
  <c r="M19" i="7" s="1"/>
  <c r="N19" i="7" s="1"/>
  <c r="I21" i="7"/>
  <c r="M21" i="7" s="1"/>
  <c r="N21" i="7" s="1"/>
  <c r="I12" i="7"/>
  <c r="M13" i="7" s="1"/>
  <c r="N13" i="7" s="1"/>
  <c r="I8" i="7"/>
  <c r="M9" i="7" s="1"/>
  <c r="N9" i="7" s="1"/>
  <c r="I22" i="7"/>
  <c r="I18" i="7"/>
  <c r="M18" i="7" s="1"/>
  <c r="N18" i="7" s="1"/>
  <c r="I16" i="7"/>
  <c r="M16" i="7" s="1"/>
  <c r="N16" i="7" s="1"/>
  <c r="I23" i="7"/>
  <c r="I10" i="7"/>
  <c r="M11" i="7" s="1"/>
  <c r="N11" i="7" s="1"/>
  <c r="I13" i="7"/>
  <c r="I14" i="7"/>
  <c r="M14" i="7" s="1"/>
  <c r="N14" i="7" s="1"/>
  <c r="F15" i="8" s="1"/>
  <c r="I9" i="7"/>
  <c r="M10" i="7" s="1"/>
  <c r="N10" i="7" s="1"/>
  <c r="I15" i="7"/>
  <c r="M15" i="7" s="1"/>
  <c r="N15" i="7" s="1"/>
  <c r="I11" i="7"/>
  <c r="M12" i="7" s="1"/>
  <c r="N12" i="7" s="1"/>
  <c r="I7" i="7"/>
  <c r="M8" i="7" s="1"/>
  <c r="I20" i="7"/>
  <c r="M20" i="7" s="1"/>
  <c r="N20" i="7" s="1"/>
  <c r="F16" i="8" l="1"/>
  <c r="F16" i="20"/>
  <c r="G16" i="20" s="1"/>
  <c r="M17" i="7"/>
  <c r="N17" i="7" s="1"/>
  <c r="M22" i="7"/>
  <c r="N22" i="7" s="1"/>
  <c r="N8" i="7"/>
  <c r="F17" i="8" l="1"/>
  <c r="F18" i="20" s="1"/>
  <c r="G18" i="20" s="1"/>
  <c r="F17" i="20"/>
  <c r="G17" i="20" s="1"/>
  <c r="N23" i="7"/>
  <c r="F8" i="8"/>
  <c r="G16" i="21"/>
  <c r="G18" i="21" l="1"/>
  <c r="F9" i="8"/>
  <c r="F9" i="20"/>
  <c r="G9" i="20" s="1"/>
  <c r="G17" i="21"/>
  <c r="G9" i="21" l="1"/>
  <c r="F10" i="8"/>
  <c r="F10" i="20"/>
  <c r="G10" i="20" s="1"/>
  <c r="H9" i="20"/>
  <c r="I9" i="20" s="1"/>
  <c r="G10" i="21" l="1"/>
  <c r="F11" i="8"/>
  <c r="F11" i="20"/>
  <c r="G11" i="20" s="1"/>
  <c r="D9" i="21"/>
  <c r="D26" i="21" s="1"/>
  <c r="D43" i="21" s="1"/>
  <c r="D60" i="21" s="1"/>
  <c r="D77" i="21" s="1"/>
  <c r="D94" i="21" s="1"/>
  <c r="D111" i="21" s="1"/>
  <c r="D128" i="21" s="1"/>
  <c r="D145" i="21" s="1"/>
  <c r="D162" i="21" s="1"/>
  <c r="D179" i="21" s="1"/>
  <c r="D196" i="21" s="1"/>
  <c r="D213" i="21" s="1"/>
  <c r="D230" i="21" s="1"/>
  <c r="D247" i="21" s="1"/>
  <c r="J9" i="20"/>
  <c r="H10" i="20"/>
  <c r="I10" i="20" s="1"/>
  <c r="G11" i="21" l="1"/>
  <c r="F12" i="8"/>
  <c r="F12" i="20"/>
  <c r="G12" i="20" s="1"/>
  <c r="E9" i="21"/>
  <c r="E26" i="21" s="1"/>
  <c r="E43" i="21" s="1"/>
  <c r="E60" i="21" s="1"/>
  <c r="E77" i="21" s="1"/>
  <c r="E94" i="21" s="1"/>
  <c r="E111" i="21" s="1"/>
  <c r="E128" i="21" s="1"/>
  <c r="E145" i="21" s="1"/>
  <c r="E162" i="21" s="1"/>
  <c r="E179" i="21" s="1"/>
  <c r="E196" i="21" s="1"/>
  <c r="E213" i="21" s="1"/>
  <c r="E230" i="21" s="1"/>
  <c r="E247" i="21" s="1"/>
  <c r="K9" i="20"/>
  <c r="L9" i="20" s="1"/>
  <c r="D10" i="21"/>
  <c r="D27" i="21" s="1"/>
  <c r="D44" i="21" s="1"/>
  <c r="D61" i="21" s="1"/>
  <c r="D78" i="21" s="1"/>
  <c r="D95" i="21" s="1"/>
  <c r="D112" i="21" s="1"/>
  <c r="D129" i="21" s="1"/>
  <c r="D146" i="21" s="1"/>
  <c r="D163" i="21" s="1"/>
  <c r="D180" i="21" s="1"/>
  <c r="D197" i="21" s="1"/>
  <c r="D214" i="21" s="1"/>
  <c r="D231" i="21" s="1"/>
  <c r="D248" i="21" s="1"/>
  <c r="J10" i="20"/>
  <c r="H11" i="20"/>
  <c r="I11" i="20" s="1"/>
  <c r="G12" i="21" l="1"/>
  <c r="F13" i="8"/>
  <c r="F13" i="20"/>
  <c r="G13" i="20" s="1"/>
  <c r="D11" i="21"/>
  <c r="D28" i="21" s="1"/>
  <c r="D45" i="21" s="1"/>
  <c r="D62" i="21" s="1"/>
  <c r="D79" i="21" s="1"/>
  <c r="D96" i="21" s="1"/>
  <c r="D113" i="21" s="1"/>
  <c r="D130" i="21" s="1"/>
  <c r="D147" i="21" s="1"/>
  <c r="D164" i="21" s="1"/>
  <c r="D181" i="21" s="1"/>
  <c r="D198" i="21" s="1"/>
  <c r="D215" i="21" s="1"/>
  <c r="D232" i="21" s="1"/>
  <c r="D249" i="21" s="1"/>
  <c r="J11" i="20"/>
  <c r="E10" i="21"/>
  <c r="E27" i="21" s="1"/>
  <c r="E44" i="21" s="1"/>
  <c r="E61" i="21" s="1"/>
  <c r="E78" i="21" s="1"/>
  <c r="E95" i="21" s="1"/>
  <c r="E112" i="21" s="1"/>
  <c r="E129" i="21" s="1"/>
  <c r="E146" i="21" s="1"/>
  <c r="E163" i="21" s="1"/>
  <c r="E180" i="21" s="1"/>
  <c r="E197" i="21" s="1"/>
  <c r="E214" i="21" s="1"/>
  <c r="E231" i="21" s="1"/>
  <c r="E248" i="21" s="1"/>
  <c r="K10" i="20"/>
  <c r="L10" i="20" s="1"/>
  <c r="M9" i="20"/>
  <c r="N9" i="20" s="1"/>
  <c r="F9" i="21"/>
  <c r="F26" i="21" s="1"/>
  <c r="F43" i="21" s="1"/>
  <c r="F60" i="21" s="1"/>
  <c r="F77" i="21" s="1"/>
  <c r="F94" i="21" s="1"/>
  <c r="F111" i="21" s="1"/>
  <c r="F128" i="21" s="1"/>
  <c r="F145" i="21" s="1"/>
  <c r="F162" i="21" s="1"/>
  <c r="F179" i="21" s="1"/>
  <c r="F196" i="21" s="1"/>
  <c r="F213" i="21" s="1"/>
  <c r="F230" i="21" s="1"/>
  <c r="F247" i="21" s="1"/>
  <c r="D10" i="22" s="1"/>
  <c r="H12" i="20"/>
  <c r="I12" i="20" s="1"/>
  <c r="F18" i="8" l="1"/>
  <c r="F14" i="20"/>
  <c r="G14" i="20" s="1"/>
  <c r="G13" i="21"/>
  <c r="H9" i="21"/>
  <c r="I9" i="21" s="1"/>
  <c r="H13" i="20"/>
  <c r="I13" i="20" s="1"/>
  <c r="M10" i="20"/>
  <c r="N10" i="20" s="1"/>
  <c r="F10" i="21"/>
  <c r="F27" i="21" s="1"/>
  <c r="F44" i="21" s="1"/>
  <c r="E11" i="21"/>
  <c r="E28" i="21" s="1"/>
  <c r="E45" i="21" s="1"/>
  <c r="E62" i="21" s="1"/>
  <c r="E79" i="21" s="1"/>
  <c r="E96" i="21" s="1"/>
  <c r="E113" i="21" s="1"/>
  <c r="E130" i="21" s="1"/>
  <c r="E147" i="21" s="1"/>
  <c r="E164" i="21" s="1"/>
  <c r="E181" i="21" s="1"/>
  <c r="E198" i="21" s="1"/>
  <c r="E215" i="21" s="1"/>
  <c r="E232" i="21" s="1"/>
  <c r="E249" i="21" s="1"/>
  <c r="K11" i="20"/>
  <c r="L11" i="20" s="1"/>
  <c r="D12" i="21"/>
  <c r="D29" i="21" s="1"/>
  <c r="D46" i="21" s="1"/>
  <c r="D63" i="21" s="1"/>
  <c r="D80" i="21" s="1"/>
  <c r="D97" i="21" s="1"/>
  <c r="D114" i="21" s="1"/>
  <c r="D131" i="21" s="1"/>
  <c r="D148" i="21" s="1"/>
  <c r="D165" i="21" s="1"/>
  <c r="D182" i="21" s="1"/>
  <c r="D199" i="21" s="1"/>
  <c r="D216" i="21" s="1"/>
  <c r="D233" i="21" s="1"/>
  <c r="D250" i="21" s="1"/>
  <c r="J12" i="20"/>
  <c r="F61" i="21" l="1"/>
  <c r="F19" i="8"/>
  <c r="F19" i="20"/>
  <c r="G19" i="20" s="1"/>
  <c r="G14" i="21"/>
  <c r="H14" i="20"/>
  <c r="I14" i="20" s="1"/>
  <c r="D13" i="21"/>
  <c r="D30" i="21" s="1"/>
  <c r="D47" i="21" s="1"/>
  <c r="D64" i="21" s="1"/>
  <c r="D81" i="21" s="1"/>
  <c r="D98" i="21" s="1"/>
  <c r="D115" i="21" s="1"/>
  <c r="D132" i="21" s="1"/>
  <c r="D149" i="21" s="1"/>
  <c r="D166" i="21" s="1"/>
  <c r="D183" i="21" s="1"/>
  <c r="D200" i="21" s="1"/>
  <c r="D217" i="21" s="1"/>
  <c r="D234" i="21" s="1"/>
  <c r="D251" i="21" s="1"/>
  <c r="J13" i="20"/>
  <c r="J9" i="21"/>
  <c r="E12" i="21"/>
  <c r="E29" i="21" s="1"/>
  <c r="E46" i="21" s="1"/>
  <c r="E63" i="21" s="1"/>
  <c r="E80" i="21" s="1"/>
  <c r="E97" i="21" s="1"/>
  <c r="E114" i="21" s="1"/>
  <c r="E131" i="21" s="1"/>
  <c r="E148" i="21" s="1"/>
  <c r="E165" i="21" s="1"/>
  <c r="E182" i="21" s="1"/>
  <c r="E199" i="21" s="1"/>
  <c r="E216" i="21" s="1"/>
  <c r="E233" i="21" s="1"/>
  <c r="E250" i="21" s="1"/>
  <c r="K12" i="20"/>
  <c r="L12" i="20" s="1"/>
  <c r="M11" i="20"/>
  <c r="N11" i="20" s="1"/>
  <c r="F11" i="21"/>
  <c r="F28" i="21" s="1"/>
  <c r="F45" i="21" s="1"/>
  <c r="F62" i="21" s="1"/>
  <c r="F79" i="21" s="1"/>
  <c r="F96" i="21" s="1"/>
  <c r="F113" i="21" s="1"/>
  <c r="F130" i="21" s="1"/>
  <c r="F147" i="21" s="1"/>
  <c r="F164" i="21" s="1"/>
  <c r="F181" i="21" s="1"/>
  <c r="F198" i="21" s="1"/>
  <c r="F215" i="21" s="1"/>
  <c r="F232" i="21" s="1"/>
  <c r="F249" i="21" s="1"/>
  <c r="D12" i="22" s="1"/>
  <c r="H10" i="21"/>
  <c r="I10" i="21" s="1"/>
  <c r="J10" i="21" s="1"/>
  <c r="E10" i="22"/>
  <c r="P10" i="31" s="1"/>
  <c r="I10" i="22"/>
  <c r="F20" i="8" l="1"/>
  <c r="F20" i="20"/>
  <c r="G20" i="20" s="1"/>
  <c r="F78" i="21"/>
  <c r="G8" i="24"/>
  <c r="D14" i="21"/>
  <c r="D31" i="21" s="1"/>
  <c r="D48" i="21" s="1"/>
  <c r="D65" i="21" s="1"/>
  <c r="D82" i="21" s="1"/>
  <c r="D99" i="21" s="1"/>
  <c r="D116" i="21" s="1"/>
  <c r="D133" i="21" s="1"/>
  <c r="D150" i="21" s="1"/>
  <c r="D167" i="21" s="1"/>
  <c r="D184" i="21" s="1"/>
  <c r="D201" i="21" s="1"/>
  <c r="D218" i="21" s="1"/>
  <c r="D235" i="21" s="1"/>
  <c r="D252" i="21" s="1"/>
  <c r="J14" i="20"/>
  <c r="H11" i="21"/>
  <c r="I11" i="21" s="1"/>
  <c r="J11" i="21" s="1"/>
  <c r="M12" i="20"/>
  <c r="N12" i="20" s="1"/>
  <c r="F12" i="21"/>
  <c r="F29" i="21" s="1"/>
  <c r="F46" i="21" s="1"/>
  <c r="H15" i="20"/>
  <c r="I15" i="20" s="1"/>
  <c r="E13" i="21"/>
  <c r="E30" i="21" s="1"/>
  <c r="E47" i="21" s="1"/>
  <c r="E64" i="21" s="1"/>
  <c r="E81" i="21" s="1"/>
  <c r="E98" i="21" s="1"/>
  <c r="E115" i="21" s="1"/>
  <c r="E132" i="21" s="1"/>
  <c r="E149" i="21" s="1"/>
  <c r="E166" i="21" s="1"/>
  <c r="E183" i="21" s="1"/>
  <c r="E200" i="21" s="1"/>
  <c r="E217" i="21" s="1"/>
  <c r="E234" i="21" s="1"/>
  <c r="E251" i="21" s="1"/>
  <c r="K13" i="20"/>
  <c r="L13" i="20" s="1"/>
  <c r="F95" i="21" l="1"/>
  <c r="F21" i="20"/>
  <c r="G21" i="20" s="1"/>
  <c r="F23" i="8"/>
  <c r="F24" i="20" s="1"/>
  <c r="G24" i="20" s="1"/>
  <c r="F21" i="8"/>
  <c r="F63" i="21"/>
  <c r="G9" i="24"/>
  <c r="E12" i="22"/>
  <c r="P12" i="31" s="1"/>
  <c r="I12" i="22"/>
  <c r="M13" i="20"/>
  <c r="N13" i="20" s="1"/>
  <c r="F13" i="21"/>
  <c r="F30" i="21" s="1"/>
  <c r="F47" i="21" s="1"/>
  <c r="F64" i="21" s="1"/>
  <c r="F81" i="21" s="1"/>
  <c r="F98" i="21" s="1"/>
  <c r="F115" i="21" s="1"/>
  <c r="F132" i="21" s="1"/>
  <c r="F149" i="21" s="1"/>
  <c r="F166" i="21" s="1"/>
  <c r="F183" i="21" s="1"/>
  <c r="F200" i="21" s="1"/>
  <c r="F217" i="21" s="1"/>
  <c r="F234" i="21" s="1"/>
  <c r="F251" i="21" s="1"/>
  <c r="D14" i="22" s="1"/>
  <c r="J15" i="20"/>
  <c r="D15" i="21"/>
  <c r="D32" i="21" s="1"/>
  <c r="D49" i="21" s="1"/>
  <c r="D66" i="21" s="1"/>
  <c r="D83" i="21" s="1"/>
  <c r="D100" i="21" s="1"/>
  <c r="D117" i="21" s="1"/>
  <c r="D134" i="21" s="1"/>
  <c r="D151" i="21" s="1"/>
  <c r="D168" i="21" s="1"/>
  <c r="D185" i="21" s="1"/>
  <c r="D202" i="21" s="1"/>
  <c r="D219" i="21" s="1"/>
  <c r="D236" i="21" s="1"/>
  <c r="D253" i="21" s="1"/>
  <c r="H12" i="21"/>
  <c r="I12" i="21" s="1"/>
  <c r="E14" i="21"/>
  <c r="E31" i="21" s="1"/>
  <c r="E48" i="21" s="1"/>
  <c r="E65" i="21" s="1"/>
  <c r="E82" i="21" s="1"/>
  <c r="E99" i="21" s="1"/>
  <c r="E116" i="21" s="1"/>
  <c r="E133" i="21" s="1"/>
  <c r="E150" i="21" s="1"/>
  <c r="E167" i="21" s="1"/>
  <c r="E184" i="21" s="1"/>
  <c r="E201" i="21" s="1"/>
  <c r="E218" i="21" s="1"/>
  <c r="E235" i="21" s="1"/>
  <c r="E252" i="21" s="1"/>
  <c r="K14" i="20"/>
  <c r="L14" i="20" s="1"/>
  <c r="H16" i="20"/>
  <c r="I16" i="20" s="1"/>
  <c r="G13" i="24" l="1"/>
  <c r="H24" i="20"/>
  <c r="I24" i="20" s="1"/>
  <c r="F80" i="21"/>
  <c r="G10" i="24"/>
  <c r="H21" i="20"/>
  <c r="I21" i="20" s="1"/>
  <c r="F112" i="21"/>
  <c r="F22" i="8"/>
  <c r="F23" i="20" s="1"/>
  <c r="G23" i="20" s="1"/>
  <c r="F22" i="20"/>
  <c r="G22" i="20" s="1"/>
  <c r="E15" i="21"/>
  <c r="E32" i="21" s="1"/>
  <c r="E49" i="21" s="1"/>
  <c r="E66" i="21" s="1"/>
  <c r="E83" i="21" s="1"/>
  <c r="E100" i="21" s="1"/>
  <c r="E117" i="21" s="1"/>
  <c r="E134" i="21" s="1"/>
  <c r="E151" i="21" s="1"/>
  <c r="E168" i="21" s="1"/>
  <c r="E185" i="21" s="1"/>
  <c r="E202" i="21" s="1"/>
  <c r="E219" i="21" s="1"/>
  <c r="E236" i="21" s="1"/>
  <c r="E253" i="21" s="1"/>
  <c r="K15" i="20"/>
  <c r="L15" i="20" s="1"/>
  <c r="D16" i="21"/>
  <c r="D33" i="21" s="1"/>
  <c r="D50" i="21" s="1"/>
  <c r="D67" i="21" s="1"/>
  <c r="D84" i="21" s="1"/>
  <c r="D101" i="21" s="1"/>
  <c r="D118" i="21" s="1"/>
  <c r="D135" i="21" s="1"/>
  <c r="D152" i="21" s="1"/>
  <c r="D169" i="21" s="1"/>
  <c r="D186" i="21" s="1"/>
  <c r="D203" i="21" s="1"/>
  <c r="D220" i="21" s="1"/>
  <c r="D237" i="21" s="1"/>
  <c r="D254" i="21" s="1"/>
  <c r="J16" i="20"/>
  <c r="M14" i="20"/>
  <c r="N14" i="20" s="1"/>
  <c r="F14" i="21"/>
  <c r="F31" i="21" s="1"/>
  <c r="F48" i="21" s="1"/>
  <c r="J12" i="21"/>
  <c r="H13" i="21"/>
  <c r="I13" i="21" s="1"/>
  <c r="J13" i="21" s="1"/>
  <c r="H17" i="20"/>
  <c r="I17" i="20" s="1"/>
  <c r="G12" i="24" l="1"/>
  <c r="H23" i="20"/>
  <c r="I23" i="20" s="1"/>
  <c r="D10" i="24"/>
  <c r="D22" i="24" s="1"/>
  <c r="D34" i="24" s="1"/>
  <c r="D46" i="24" s="1"/>
  <c r="D58" i="24" s="1"/>
  <c r="D70" i="24" s="1"/>
  <c r="D82" i="24" s="1"/>
  <c r="D94" i="24" s="1"/>
  <c r="D106" i="24" s="1"/>
  <c r="D118" i="24" s="1"/>
  <c r="D130" i="24" s="1"/>
  <c r="D142" i="24" s="1"/>
  <c r="D154" i="24" s="1"/>
  <c r="D166" i="24" s="1"/>
  <c r="J21" i="20"/>
  <c r="D13" i="24"/>
  <c r="D25" i="24" s="1"/>
  <c r="D37" i="24" s="1"/>
  <c r="D49" i="24" s="1"/>
  <c r="D61" i="24" s="1"/>
  <c r="D73" i="24" s="1"/>
  <c r="D85" i="24" s="1"/>
  <c r="D97" i="24" s="1"/>
  <c r="D109" i="24" s="1"/>
  <c r="D121" i="24" s="1"/>
  <c r="D133" i="24" s="1"/>
  <c r="D145" i="24" s="1"/>
  <c r="D157" i="24" s="1"/>
  <c r="D169" i="24" s="1"/>
  <c r="J24" i="20"/>
  <c r="F129" i="21"/>
  <c r="F65" i="21"/>
  <c r="G11" i="24"/>
  <c r="H22" i="20"/>
  <c r="I22" i="20" s="1"/>
  <c r="F97" i="21"/>
  <c r="D17" i="21"/>
  <c r="D34" i="21" s="1"/>
  <c r="D51" i="21" s="1"/>
  <c r="D68" i="21" s="1"/>
  <c r="D85" i="21" s="1"/>
  <c r="D102" i="21" s="1"/>
  <c r="D119" i="21" s="1"/>
  <c r="D136" i="21" s="1"/>
  <c r="D153" i="21" s="1"/>
  <c r="D170" i="21" s="1"/>
  <c r="D187" i="21" s="1"/>
  <c r="D204" i="21" s="1"/>
  <c r="D221" i="21" s="1"/>
  <c r="D238" i="21" s="1"/>
  <c r="D255" i="21" s="1"/>
  <c r="J17" i="20"/>
  <c r="H14" i="21"/>
  <c r="I14" i="21" s="1"/>
  <c r="J14" i="21" s="1"/>
  <c r="E16" i="21"/>
  <c r="E33" i="21" s="1"/>
  <c r="E50" i="21" s="1"/>
  <c r="E67" i="21" s="1"/>
  <c r="E84" i="21" s="1"/>
  <c r="E101" i="21" s="1"/>
  <c r="E118" i="21" s="1"/>
  <c r="E135" i="21" s="1"/>
  <c r="E152" i="21" s="1"/>
  <c r="E169" i="21" s="1"/>
  <c r="E186" i="21" s="1"/>
  <c r="E203" i="21" s="1"/>
  <c r="E220" i="21" s="1"/>
  <c r="E237" i="21" s="1"/>
  <c r="E254" i="21" s="1"/>
  <c r="K16" i="20"/>
  <c r="L16" i="20" s="1"/>
  <c r="H18" i="20"/>
  <c r="I18" i="20" s="1"/>
  <c r="M15" i="20"/>
  <c r="N15" i="20" s="1"/>
  <c r="F15" i="21"/>
  <c r="F32" i="21" s="1"/>
  <c r="F49" i="21" s="1"/>
  <c r="F66" i="21" s="1"/>
  <c r="F83" i="21" s="1"/>
  <c r="F100" i="21" s="1"/>
  <c r="F117" i="21" s="1"/>
  <c r="F134" i="21" s="1"/>
  <c r="F151" i="21" s="1"/>
  <c r="F168" i="21" s="1"/>
  <c r="F185" i="21" s="1"/>
  <c r="F202" i="21" s="1"/>
  <c r="F219" i="21" s="1"/>
  <c r="F236" i="21" s="1"/>
  <c r="F253" i="21" s="1"/>
  <c r="D16" i="22" s="1"/>
  <c r="E14" i="22"/>
  <c r="P14" i="31" s="1"/>
  <c r="I14" i="22"/>
  <c r="D11" i="24" l="1"/>
  <c r="D23" i="24" s="1"/>
  <c r="D35" i="24" s="1"/>
  <c r="D47" i="24" s="1"/>
  <c r="D59" i="24" s="1"/>
  <c r="D71" i="24" s="1"/>
  <c r="D83" i="24" s="1"/>
  <c r="D95" i="24" s="1"/>
  <c r="D107" i="24" s="1"/>
  <c r="D119" i="24" s="1"/>
  <c r="D131" i="24" s="1"/>
  <c r="D143" i="24" s="1"/>
  <c r="D155" i="24" s="1"/>
  <c r="D167" i="24" s="1"/>
  <c r="J22" i="20"/>
  <c r="E13" i="24"/>
  <c r="E25" i="24" s="1"/>
  <c r="E37" i="24" s="1"/>
  <c r="E49" i="24" s="1"/>
  <c r="E61" i="24" s="1"/>
  <c r="E73" i="24" s="1"/>
  <c r="E85" i="24" s="1"/>
  <c r="E97" i="24" s="1"/>
  <c r="E109" i="24" s="1"/>
  <c r="E121" i="24" s="1"/>
  <c r="E133" i="24" s="1"/>
  <c r="E145" i="24" s="1"/>
  <c r="E157" i="24" s="1"/>
  <c r="E169" i="24" s="1"/>
  <c r="K24" i="20"/>
  <c r="L24" i="20" s="1"/>
  <c r="F82" i="21"/>
  <c r="D12" i="24"/>
  <c r="D24" i="24" s="1"/>
  <c r="D36" i="24" s="1"/>
  <c r="D48" i="24" s="1"/>
  <c r="D60" i="24" s="1"/>
  <c r="D72" i="24" s="1"/>
  <c r="D84" i="24" s="1"/>
  <c r="D96" i="24" s="1"/>
  <c r="D108" i="24" s="1"/>
  <c r="D120" i="24" s="1"/>
  <c r="D132" i="24" s="1"/>
  <c r="D144" i="24" s="1"/>
  <c r="D156" i="24" s="1"/>
  <c r="D168" i="24" s="1"/>
  <c r="J23" i="20"/>
  <c r="F114" i="21"/>
  <c r="F146" i="21"/>
  <c r="E10" i="24"/>
  <c r="E22" i="24" s="1"/>
  <c r="E34" i="24" s="1"/>
  <c r="E46" i="24" s="1"/>
  <c r="E58" i="24" s="1"/>
  <c r="E70" i="24" s="1"/>
  <c r="E82" i="24" s="1"/>
  <c r="E94" i="24" s="1"/>
  <c r="E106" i="24" s="1"/>
  <c r="E118" i="24" s="1"/>
  <c r="E130" i="24" s="1"/>
  <c r="E142" i="24" s="1"/>
  <c r="E154" i="24" s="1"/>
  <c r="E166" i="24" s="1"/>
  <c r="K21" i="20"/>
  <c r="L21" i="20" s="1"/>
  <c r="H19" i="20"/>
  <c r="I19" i="20" s="1"/>
  <c r="D8" i="24" s="1"/>
  <c r="D20" i="24" s="1"/>
  <c r="D32" i="24" s="1"/>
  <c r="D44" i="24" s="1"/>
  <c r="D56" i="24" s="1"/>
  <c r="D68" i="24" s="1"/>
  <c r="D80" i="24" s="1"/>
  <c r="D92" i="24" s="1"/>
  <c r="D104" i="24" s="1"/>
  <c r="D116" i="24" s="1"/>
  <c r="D128" i="24" s="1"/>
  <c r="D140" i="24" s="1"/>
  <c r="D152" i="24" s="1"/>
  <c r="D164" i="24" s="1"/>
  <c r="H15" i="21"/>
  <c r="I15" i="21" s="1"/>
  <c r="J15" i="21" s="1"/>
  <c r="E17" i="21"/>
  <c r="E34" i="21" s="1"/>
  <c r="E51" i="21" s="1"/>
  <c r="E68" i="21" s="1"/>
  <c r="E85" i="21" s="1"/>
  <c r="E102" i="21" s="1"/>
  <c r="E119" i="21" s="1"/>
  <c r="E136" i="21" s="1"/>
  <c r="E153" i="21" s="1"/>
  <c r="E170" i="21" s="1"/>
  <c r="E187" i="21" s="1"/>
  <c r="E204" i="21" s="1"/>
  <c r="E221" i="21" s="1"/>
  <c r="E238" i="21" s="1"/>
  <c r="E255" i="21" s="1"/>
  <c r="K17" i="20"/>
  <c r="L17" i="20" s="1"/>
  <c r="J18" i="20"/>
  <c r="D18" i="21"/>
  <c r="D35" i="21" s="1"/>
  <c r="D52" i="21" s="1"/>
  <c r="D69" i="21" s="1"/>
  <c r="D86" i="21" s="1"/>
  <c r="D103" i="21" s="1"/>
  <c r="D120" i="21" s="1"/>
  <c r="D137" i="21" s="1"/>
  <c r="D154" i="21" s="1"/>
  <c r="D171" i="21" s="1"/>
  <c r="D188" i="21" s="1"/>
  <c r="D205" i="21" s="1"/>
  <c r="D222" i="21" s="1"/>
  <c r="D239" i="21" s="1"/>
  <c r="D256" i="21" s="1"/>
  <c r="M16" i="20"/>
  <c r="N16" i="20" s="1"/>
  <c r="F16" i="21"/>
  <c r="F33" i="21" s="1"/>
  <c r="F50" i="21" s="1"/>
  <c r="E12" i="24" l="1"/>
  <c r="E24" i="24" s="1"/>
  <c r="E36" i="24" s="1"/>
  <c r="E48" i="24" s="1"/>
  <c r="E60" i="24" s="1"/>
  <c r="E72" i="24" s="1"/>
  <c r="E84" i="24" s="1"/>
  <c r="E96" i="24" s="1"/>
  <c r="E108" i="24" s="1"/>
  <c r="E120" i="24" s="1"/>
  <c r="E132" i="24" s="1"/>
  <c r="E144" i="24" s="1"/>
  <c r="E156" i="24" s="1"/>
  <c r="E168" i="24" s="1"/>
  <c r="K23" i="20"/>
  <c r="L23" i="20" s="1"/>
  <c r="F13" i="24"/>
  <c r="F25" i="24" s="1"/>
  <c r="F37" i="24" s="1"/>
  <c r="M24" i="20"/>
  <c r="N24" i="20" s="1"/>
  <c r="F10" i="24"/>
  <c r="F22" i="24" s="1"/>
  <c r="F34" i="24" s="1"/>
  <c r="F46" i="24" s="1"/>
  <c r="F58" i="24" s="1"/>
  <c r="F70" i="24" s="1"/>
  <c r="F82" i="24" s="1"/>
  <c r="F94" i="24" s="1"/>
  <c r="M21" i="20"/>
  <c r="N21" i="20" s="1"/>
  <c r="F67" i="21"/>
  <c r="F131" i="21"/>
  <c r="F99" i="21"/>
  <c r="E11" i="24"/>
  <c r="E23" i="24" s="1"/>
  <c r="E35" i="24" s="1"/>
  <c r="E47" i="24" s="1"/>
  <c r="E59" i="24" s="1"/>
  <c r="E71" i="24" s="1"/>
  <c r="E83" i="24" s="1"/>
  <c r="E95" i="24" s="1"/>
  <c r="E107" i="24" s="1"/>
  <c r="E119" i="24" s="1"/>
  <c r="E131" i="24" s="1"/>
  <c r="E143" i="24" s="1"/>
  <c r="E155" i="24" s="1"/>
  <c r="E167" i="24" s="1"/>
  <c r="K22" i="20"/>
  <c r="L22" i="20" s="1"/>
  <c r="F163" i="21"/>
  <c r="E18" i="21"/>
  <c r="E35" i="21" s="1"/>
  <c r="E52" i="21" s="1"/>
  <c r="E69" i="21" s="1"/>
  <c r="E86" i="21" s="1"/>
  <c r="E103" i="21" s="1"/>
  <c r="E120" i="21" s="1"/>
  <c r="E137" i="21" s="1"/>
  <c r="E154" i="21" s="1"/>
  <c r="E171" i="21" s="1"/>
  <c r="E188" i="21" s="1"/>
  <c r="E205" i="21" s="1"/>
  <c r="E222" i="21" s="1"/>
  <c r="E239" i="21" s="1"/>
  <c r="E256" i="21" s="1"/>
  <c r="K18" i="20"/>
  <c r="L18" i="20" s="1"/>
  <c r="H20" i="20"/>
  <c r="I20" i="20" s="1"/>
  <c r="D9" i="24" s="1"/>
  <c r="D21" i="24" s="1"/>
  <c r="D33" i="24" s="1"/>
  <c r="D45" i="24" s="1"/>
  <c r="D57" i="24" s="1"/>
  <c r="D69" i="24" s="1"/>
  <c r="D81" i="24" s="1"/>
  <c r="D93" i="24" s="1"/>
  <c r="D105" i="24" s="1"/>
  <c r="D117" i="24" s="1"/>
  <c r="D129" i="24" s="1"/>
  <c r="D141" i="24" s="1"/>
  <c r="D153" i="24" s="1"/>
  <c r="D165" i="24" s="1"/>
  <c r="I16" i="22"/>
  <c r="E16" i="22"/>
  <c r="P16" i="31" s="1"/>
  <c r="J19" i="20"/>
  <c r="E8" i="24" s="1"/>
  <c r="E20" i="24" s="1"/>
  <c r="E32" i="24" s="1"/>
  <c r="E44" i="24" s="1"/>
  <c r="E56" i="24" s="1"/>
  <c r="E68" i="24" s="1"/>
  <c r="E80" i="24" s="1"/>
  <c r="E92" i="24" s="1"/>
  <c r="E104" i="24" s="1"/>
  <c r="E116" i="24" s="1"/>
  <c r="E128" i="24" s="1"/>
  <c r="E140" i="24" s="1"/>
  <c r="E152" i="24" s="1"/>
  <c r="E164" i="24" s="1"/>
  <c r="H16" i="21"/>
  <c r="I16" i="21" s="1"/>
  <c r="J16" i="21" s="1"/>
  <c r="M17" i="20"/>
  <c r="N17" i="20" s="1"/>
  <c r="F17" i="21"/>
  <c r="F34" i="21" s="1"/>
  <c r="F51" i="21" s="1"/>
  <c r="F68" i="21" s="1"/>
  <c r="F85" i="21" s="1"/>
  <c r="F102" i="21" s="1"/>
  <c r="F119" i="21" s="1"/>
  <c r="F136" i="21" s="1"/>
  <c r="F153" i="21" s="1"/>
  <c r="F170" i="21" s="1"/>
  <c r="F187" i="21" s="1"/>
  <c r="F204" i="21" s="1"/>
  <c r="F221" i="21" s="1"/>
  <c r="F238" i="21" s="1"/>
  <c r="F255" i="21" s="1"/>
  <c r="D18" i="22" s="1"/>
  <c r="F11" i="24" l="1"/>
  <c r="F23" i="24" s="1"/>
  <c r="F35" i="24" s="1"/>
  <c r="M22" i="20"/>
  <c r="N22" i="20" s="1"/>
  <c r="F148" i="21"/>
  <c r="F12" i="24"/>
  <c r="F24" i="24" s="1"/>
  <c r="F36" i="24" s="1"/>
  <c r="F48" i="24" s="1"/>
  <c r="F60" i="24" s="1"/>
  <c r="F72" i="24" s="1"/>
  <c r="F84" i="24" s="1"/>
  <c r="F96" i="24" s="1"/>
  <c r="F108" i="24" s="1"/>
  <c r="F120" i="24" s="1"/>
  <c r="F132" i="24" s="1"/>
  <c r="F144" i="24" s="1"/>
  <c r="F156" i="24" s="1"/>
  <c r="M23" i="20"/>
  <c r="N23" i="20" s="1"/>
  <c r="F180" i="21"/>
  <c r="F116" i="21"/>
  <c r="F84" i="21"/>
  <c r="F49" i="24"/>
  <c r="F61" i="24" s="1"/>
  <c r="F73" i="24" s="1"/>
  <c r="F85" i="24" s="1"/>
  <c r="F97" i="24" s="1"/>
  <c r="F109" i="24" s="1"/>
  <c r="F121" i="24" s="1"/>
  <c r="F133" i="24" s="1"/>
  <c r="F145" i="24" s="1"/>
  <c r="F157" i="24" s="1"/>
  <c r="F169" i="24" s="1"/>
  <c r="D25" i="22" s="1"/>
  <c r="F106" i="24"/>
  <c r="F118" i="24" s="1"/>
  <c r="F130" i="24" s="1"/>
  <c r="J20" i="20"/>
  <c r="E9" i="24" s="1"/>
  <c r="E21" i="24" s="1"/>
  <c r="E33" i="24" s="1"/>
  <c r="E45" i="24" s="1"/>
  <c r="E57" i="24" s="1"/>
  <c r="E69" i="24" s="1"/>
  <c r="E81" i="24" s="1"/>
  <c r="E93" i="24" s="1"/>
  <c r="E105" i="24" s="1"/>
  <c r="E117" i="24" s="1"/>
  <c r="E129" i="24" s="1"/>
  <c r="E141" i="24" s="1"/>
  <c r="E153" i="24" s="1"/>
  <c r="E165" i="24" s="1"/>
  <c r="M18" i="20"/>
  <c r="N18" i="20" s="1"/>
  <c r="F18" i="21"/>
  <c r="F35" i="21" s="1"/>
  <c r="F52" i="21" s="1"/>
  <c r="H17" i="21"/>
  <c r="I17" i="21" s="1"/>
  <c r="J17" i="21" s="1"/>
  <c r="K19" i="20"/>
  <c r="L19" i="20" s="1"/>
  <c r="F8" i="24" s="1"/>
  <c r="F20" i="24" s="1"/>
  <c r="F32" i="24" s="1"/>
  <c r="F44" i="24" s="1"/>
  <c r="F56" i="24" s="1"/>
  <c r="F68" i="24" s="1"/>
  <c r="F101" i="21" l="1"/>
  <c r="F165" i="21"/>
  <c r="F133" i="21"/>
  <c r="F142" i="24"/>
  <c r="F154" i="24" s="1"/>
  <c r="F166" i="24" s="1"/>
  <c r="D22" i="22" s="1"/>
  <c r="F197" i="21"/>
  <c r="F80" i="24"/>
  <c r="F92" i="24" s="1"/>
  <c r="F104" i="24" s="1"/>
  <c r="F116" i="24" s="1"/>
  <c r="F128" i="24" s="1"/>
  <c r="F140" i="24" s="1"/>
  <c r="F152" i="24" s="1"/>
  <c r="F164" i="24" s="1"/>
  <c r="D20" i="22" s="1"/>
  <c r="F69" i="21"/>
  <c r="F168" i="24"/>
  <c r="D24" i="22" s="1"/>
  <c r="F47" i="24"/>
  <c r="F59" i="24" s="1"/>
  <c r="F71" i="24" s="1"/>
  <c r="M19" i="20"/>
  <c r="N19" i="20" s="1"/>
  <c r="I18" i="22"/>
  <c r="E18" i="22"/>
  <c r="P18" i="31" s="1"/>
  <c r="H18" i="21"/>
  <c r="I18" i="21" s="1"/>
  <c r="K20" i="20"/>
  <c r="L20" i="20" s="1"/>
  <c r="F9" i="24" s="1"/>
  <c r="F21" i="24" s="1"/>
  <c r="F33" i="24" s="1"/>
  <c r="F182" i="21" l="1"/>
  <c r="F45" i="24"/>
  <c r="F57" i="24" s="1"/>
  <c r="F69" i="24" s="1"/>
  <c r="F81" i="24" s="1"/>
  <c r="F93" i="24" s="1"/>
  <c r="F105" i="24" s="1"/>
  <c r="F117" i="24" s="1"/>
  <c r="F129" i="24" s="1"/>
  <c r="F141" i="24" s="1"/>
  <c r="F83" i="24"/>
  <c r="F95" i="24" s="1"/>
  <c r="F107" i="24" s="1"/>
  <c r="F119" i="24" s="1"/>
  <c r="F131" i="24" s="1"/>
  <c r="F143" i="24" s="1"/>
  <c r="F155" i="24" s="1"/>
  <c r="F167" i="24" s="1"/>
  <c r="D23" i="22" s="1"/>
  <c r="F86" i="21"/>
  <c r="F214" i="21"/>
  <c r="F150" i="21"/>
  <c r="F118" i="21"/>
  <c r="J18" i="21"/>
  <c r="M20" i="20"/>
  <c r="N20" i="20" s="1"/>
  <c r="F153" i="24" l="1"/>
  <c r="F165" i="24" s="1"/>
  <c r="D21" i="22" s="1"/>
  <c r="F231" i="21"/>
  <c r="F199" i="21"/>
  <c r="F167" i="21"/>
  <c r="F103" i="21"/>
  <c r="F135" i="21"/>
  <c r="F152" i="21" l="1"/>
  <c r="F184" i="21"/>
  <c r="F248" i="21"/>
  <c r="F120" i="21"/>
  <c r="F216" i="21"/>
  <c r="J19" i="21"/>
  <c r="I19" i="21"/>
  <c r="H8" i="24"/>
  <c r="I8" i="24" s="1"/>
  <c r="F233" i="21" l="1"/>
  <c r="D11" i="22"/>
  <c r="F169" i="21"/>
  <c r="F137" i="21"/>
  <c r="F201" i="21"/>
  <c r="K8" i="21"/>
  <c r="I20" i="22"/>
  <c r="E20" i="22"/>
  <c r="J8" i="24"/>
  <c r="H9" i="24"/>
  <c r="I9" i="24" s="1"/>
  <c r="J9" i="24" s="1"/>
  <c r="L15" i="21" l="1"/>
  <c r="G32" i="21" s="1"/>
  <c r="L16" i="21"/>
  <c r="G33" i="21" s="1"/>
  <c r="L17" i="21"/>
  <c r="G34" i="21" s="1"/>
  <c r="L18" i="21"/>
  <c r="G35" i="21" s="1"/>
  <c r="L9" i="21"/>
  <c r="G26" i="21" s="1"/>
  <c r="L10" i="21"/>
  <c r="G27" i="21" s="1"/>
  <c r="L11" i="21"/>
  <c r="G28" i="21" s="1"/>
  <c r="L12" i="21"/>
  <c r="G29" i="21" s="1"/>
  <c r="L13" i="21"/>
  <c r="G30" i="21" s="1"/>
  <c r="L14" i="21"/>
  <c r="G31" i="21" s="1"/>
  <c r="F154" i="21"/>
  <c r="I11" i="22"/>
  <c r="E11" i="22"/>
  <c r="P11" i="31" s="1"/>
  <c r="F218" i="21"/>
  <c r="F186" i="21"/>
  <c r="F250" i="21"/>
  <c r="L8" i="21"/>
  <c r="G25" i="21" s="1"/>
  <c r="H10" i="24"/>
  <c r="I10" i="24" s="1"/>
  <c r="J10" i="24" s="1"/>
  <c r="E21" i="22"/>
  <c r="P20" i="31" s="1"/>
  <c r="I21" i="22"/>
  <c r="F203" i="21" l="1"/>
  <c r="D13" i="22"/>
  <c r="F235" i="21"/>
  <c r="F171" i="21"/>
  <c r="H29" i="21"/>
  <c r="I29" i="21" s="1"/>
  <c r="J29" i="21" s="1"/>
  <c r="H35" i="21"/>
  <c r="I35" i="21" s="1"/>
  <c r="J35" i="21" s="1"/>
  <c r="H28" i="21"/>
  <c r="I28" i="21" s="1"/>
  <c r="J28" i="21" s="1"/>
  <c r="H34" i="21"/>
  <c r="I34" i="21" s="1"/>
  <c r="J34" i="21" s="1"/>
  <c r="H31" i="21"/>
  <c r="I31" i="21" s="1"/>
  <c r="J31" i="21" s="1"/>
  <c r="H27" i="21"/>
  <c r="I27" i="21" s="1"/>
  <c r="J27" i="21" s="1"/>
  <c r="H33" i="21"/>
  <c r="I33" i="21" s="1"/>
  <c r="J33" i="21" s="1"/>
  <c r="H25" i="21"/>
  <c r="I25" i="21" s="1"/>
  <c r="H30" i="21"/>
  <c r="I30" i="21" s="1"/>
  <c r="J30" i="21" s="1"/>
  <c r="H26" i="21"/>
  <c r="I26" i="21" s="1"/>
  <c r="J26" i="21" s="1"/>
  <c r="H32" i="21"/>
  <c r="I32" i="21" s="1"/>
  <c r="J32" i="21" s="1"/>
  <c r="H11" i="24"/>
  <c r="I11" i="24" s="1"/>
  <c r="J11" i="24" s="1"/>
  <c r="E22" i="22"/>
  <c r="P22" i="31" s="1"/>
  <c r="I22" i="22"/>
  <c r="I36" i="21" l="1"/>
  <c r="J25" i="21"/>
  <c r="J36" i="21" s="1"/>
  <c r="E13" i="22"/>
  <c r="P13" i="31" s="1"/>
  <c r="I13" i="22"/>
  <c r="F188" i="21"/>
  <c r="F252" i="21"/>
  <c r="F220" i="21"/>
  <c r="I23" i="22"/>
  <c r="E23" i="22"/>
  <c r="P23" i="31" s="1"/>
  <c r="H12" i="24"/>
  <c r="I12" i="24" s="1"/>
  <c r="J12" i="24" s="1"/>
  <c r="F237" i="21" l="1"/>
  <c r="F205" i="21"/>
  <c r="D15" i="22"/>
  <c r="K25" i="21"/>
  <c r="H13" i="24"/>
  <c r="I13" i="24" s="1"/>
  <c r="J13" i="24" s="1"/>
  <c r="J14" i="24" s="1"/>
  <c r="F222" i="21" l="1"/>
  <c r="L29" i="21"/>
  <c r="G46" i="21" s="1"/>
  <c r="L28" i="21"/>
  <c r="G45" i="21" s="1"/>
  <c r="L31" i="21"/>
  <c r="G48" i="21" s="1"/>
  <c r="L33" i="21"/>
  <c r="G50" i="21" s="1"/>
  <c r="L30" i="21"/>
  <c r="G47" i="21" s="1"/>
  <c r="L32" i="21"/>
  <c r="G49" i="21" s="1"/>
  <c r="L34" i="21"/>
  <c r="G51" i="21" s="1"/>
  <c r="L35" i="21"/>
  <c r="G52" i="21" s="1"/>
  <c r="L27" i="21"/>
  <c r="G44" i="21" s="1"/>
  <c r="L25" i="21"/>
  <c r="G42" i="21" s="1"/>
  <c r="L26" i="21"/>
  <c r="G43" i="21" s="1"/>
  <c r="I15" i="22"/>
  <c r="E15" i="22"/>
  <c r="P15" i="31" s="1"/>
  <c r="F254" i="21"/>
  <c r="I14" i="24"/>
  <c r="K8" i="24" s="1"/>
  <c r="E24" i="22"/>
  <c r="P24" i="31" s="1"/>
  <c r="I24" i="22"/>
  <c r="H49" i="21" l="1"/>
  <c r="I49" i="21" s="1"/>
  <c r="J49" i="21" s="1"/>
  <c r="H45" i="21"/>
  <c r="I45" i="21" s="1"/>
  <c r="J45" i="21" s="1"/>
  <c r="H44" i="21"/>
  <c r="I44" i="21" s="1"/>
  <c r="J44" i="21" s="1"/>
  <c r="H47" i="21"/>
  <c r="I47" i="21" s="1"/>
  <c r="J47" i="21" s="1"/>
  <c r="H46" i="21"/>
  <c r="I46" i="21" s="1"/>
  <c r="J46" i="21" s="1"/>
  <c r="H42" i="21"/>
  <c r="I42" i="21" s="1"/>
  <c r="L8" i="24"/>
  <c r="G20" i="24" s="1"/>
  <c r="L9" i="24"/>
  <c r="G21" i="24" s="1"/>
  <c r="L10" i="24"/>
  <c r="G22" i="24" s="1"/>
  <c r="L13" i="24"/>
  <c r="G25" i="24" s="1"/>
  <c r="L11" i="24"/>
  <c r="G23" i="24" s="1"/>
  <c r="L12" i="24"/>
  <c r="G24" i="24" s="1"/>
  <c r="H52" i="21"/>
  <c r="I52" i="21" s="1"/>
  <c r="J52" i="21" s="1"/>
  <c r="H50" i="21"/>
  <c r="I50" i="21" s="1"/>
  <c r="J50" i="21" s="1"/>
  <c r="F239" i="21"/>
  <c r="D17" i="22"/>
  <c r="H43" i="21"/>
  <c r="I43" i="21" s="1"/>
  <c r="J43" i="21" s="1"/>
  <c r="H51" i="21"/>
  <c r="I51" i="21" s="1"/>
  <c r="J51" i="21" s="1"/>
  <c r="H48" i="21"/>
  <c r="I48" i="21" s="1"/>
  <c r="J48" i="21" s="1"/>
  <c r="I25" i="22"/>
  <c r="E25" i="22"/>
  <c r="P25" i="31" s="1"/>
  <c r="I17" i="22" l="1"/>
  <c r="E17" i="22"/>
  <c r="P17" i="31" s="1"/>
  <c r="F256" i="21"/>
  <c r="H25" i="24"/>
  <c r="I25" i="24" s="1"/>
  <c r="J25" i="24" s="1"/>
  <c r="J42" i="21"/>
  <c r="J53" i="21" s="1"/>
  <c r="I53" i="21"/>
  <c r="H22" i="24"/>
  <c r="I22" i="24" s="1"/>
  <c r="J22" i="24" s="1"/>
  <c r="H24" i="24"/>
  <c r="I24" i="24" s="1"/>
  <c r="J24" i="24" s="1"/>
  <c r="H21" i="24"/>
  <c r="I21" i="24" s="1"/>
  <c r="J21" i="24" s="1"/>
  <c r="H23" i="24"/>
  <c r="I23" i="24" s="1"/>
  <c r="J23" i="24" s="1"/>
  <c r="H20" i="24"/>
  <c r="I20" i="24" s="1"/>
  <c r="K42" i="21" l="1"/>
  <c r="L44" i="21"/>
  <c r="G61" i="21" s="1"/>
  <c r="L46" i="21"/>
  <c r="G63" i="21" s="1"/>
  <c r="L50" i="21"/>
  <c r="G67" i="21" s="1"/>
  <c r="L49" i="21"/>
  <c r="G66" i="21" s="1"/>
  <c r="L51" i="21"/>
  <c r="G68" i="21" s="1"/>
  <c r="L42" i="21"/>
  <c r="G59" i="21" s="1"/>
  <c r="L52" i="21"/>
  <c r="G69" i="21" s="1"/>
  <c r="L48" i="21"/>
  <c r="G65" i="21" s="1"/>
  <c r="L45" i="21"/>
  <c r="G62" i="21" s="1"/>
  <c r="L47" i="21"/>
  <c r="G64" i="21" s="1"/>
  <c r="L43" i="21"/>
  <c r="G60" i="21" s="1"/>
  <c r="D19" i="22"/>
  <c r="J20" i="24"/>
  <c r="J26" i="24" s="1"/>
  <c r="I26" i="24"/>
  <c r="H65" i="21" l="1"/>
  <c r="I65" i="21" s="1"/>
  <c r="J65" i="21" s="1"/>
  <c r="H66" i="21"/>
  <c r="I66" i="21" s="1"/>
  <c r="J66" i="21" s="1"/>
  <c r="K20" i="24"/>
  <c r="H60" i="21"/>
  <c r="I60" i="21" s="1"/>
  <c r="J60" i="21" s="1"/>
  <c r="H69" i="21"/>
  <c r="I69" i="21" s="1"/>
  <c r="J69" i="21" s="1"/>
  <c r="H67" i="21"/>
  <c r="I67" i="21" s="1"/>
  <c r="J67" i="21" s="1"/>
  <c r="H64" i="21"/>
  <c r="I64" i="21" s="1"/>
  <c r="J64" i="21" s="1"/>
  <c r="H59" i="21"/>
  <c r="I59" i="21" s="1"/>
  <c r="H63" i="21"/>
  <c r="I63" i="21" s="1"/>
  <c r="J63" i="21" s="1"/>
  <c r="I19" i="22"/>
  <c r="E19" i="22"/>
  <c r="P19" i="31" s="1"/>
  <c r="H62" i="21"/>
  <c r="I62" i="21" s="1"/>
  <c r="J62" i="21" s="1"/>
  <c r="H68" i="21"/>
  <c r="I68" i="21" s="1"/>
  <c r="J68" i="21" s="1"/>
  <c r="H61" i="21"/>
  <c r="I61" i="21" s="1"/>
  <c r="J61" i="21" s="1"/>
  <c r="I70" i="21" l="1"/>
  <c r="J59" i="21"/>
  <c r="J70" i="21" s="1"/>
  <c r="L25" i="24"/>
  <c r="G37" i="24" s="1"/>
  <c r="L22" i="24"/>
  <c r="G34" i="24" s="1"/>
  <c r="L21" i="24"/>
  <c r="G33" i="24" s="1"/>
  <c r="L20" i="24"/>
  <c r="G32" i="24" s="1"/>
  <c r="L24" i="24"/>
  <c r="G36" i="24" s="1"/>
  <c r="L23" i="24"/>
  <c r="G35" i="24" s="1"/>
  <c r="H35" i="24" l="1"/>
  <c r="I35" i="24" s="1"/>
  <c r="J35" i="24" s="1"/>
  <c r="H34" i="24"/>
  <c r="I34" i="24" s="1"/>
  <c r="J34" i="24" s="1"/>
  <c r="H36" i="24"/>
  <c r="I36" i="24" s="1"/>
  <c r="J36" i="24" s="1"/>
  <c r="H37" i="24"/>
  <c r="I37" i="24" s="1"/>
  <c r="J37" i="24" s="1"/>
  <c r="H32" i="24"/>
  <c r="I32" i="24" s="1"/>
  <c r="H33" i="24"/>
  <c r="I33" i="24" s="1"/>
  <c r="J33" i="24" s="1"/>
  <c r="K59" i="21"/>
  <c r="J32" i="24" l="1"/>
  <c r="J38" i="24" s="1"/>
  <c r="I38" i="24"/>
  <c r="K32" i="24" s="1"/>
  <c r="L65" i="21"/>
  <c r="G82" i="21" s="1"/>
  <c r="L64" i="21"/>
  <c r="G81" i="21" s="1"/>
  <c r="L62" i="21"/>
  <c r="G79" i="21" s="1"/>
  <c r="L67" i="21"/>
  <c r="G84" i="21" s="1"/>
  <c r="L59" i="21"/>
  <c r="G76" i="21" s="1"/>
  <c r="L60" i="21"/>
  <c r="G77" i="21" s="1"/>
  <c r="L68" i="21"/>
  <c r="G85" i="21" s="1"/>
  <c r="L66" i="21"/>
  <c r="G83" i="21" s="1"/>
  <c r="L69" i="21"/>
  <c r="G86" i="21" s="1"/>
  <c r="L63" i="21"/>
  <c r="G80" i="21" s="1"/>
  <c r="L61" i="21"/>
  <c r="G78" i="21" s="1"/>
  <c r="H80" i="21" l="1"/>
  <c r="I80" i="21" s="1"/>
  <c r="J80" i="21" s="1"/>
  <c r="H77" i="21"/>
  <c r="I77" i="21" s="1"/>
  <c r="J77" i="21" s="1"/>
  <c r="H81" i="21"/>
  <c r="I81" i="21" s="1"/>
  <c r="J81" i="21" s="1"/>
  <c r="H86" i="21"/>
  <c r="I86" i="21" s="1"/>
  <c r="J86" i="21" s="1"/>
  <c r="H76" i="21"/>
  <c r="I76" i="21" s="1"/>
  <c r="H82" i="21"/>
  <c r="I82" i="21" s="1"/>
  <c r="J82" i="21" s="1"/>
  <c r="H83" i="21"/>
  <c r="I83" i="21" s="1"/>
  <c r="J83" i="21" s="1"/>
  <c r="H84" i="21"/>
  <c r="I84" i="21" s="1"/>
  <c r="J84" i="21" s="1"/>
  <c r="L35" i="24"/>
  <c r="G47" i="24" s="1"/>
  <c r="L32" i="24"/>
  <c r="G44" i="24" s="1"/>
  <c r="L36" i="24"/>
  <c r="G48" i="24" s="1"/>
  <c r="L37" i="24"/>
  <c r="G49" i="24" s="1"/>
  <c r="L33" i="24"/>
  <c r="G45" i="24" s="1"/>
  <c r="L34" i="24"/>
  <c r="G46" i="24" s="1"/>
  <c r="H78" i="21"/>
  <c r="I78" i="21" s="1"/>
  <c r="J78" i="21" s="1"/>
  <c r="H85" i="21"/>
  <c r="I85" i="21" s="1"/>
  <c r="J85" i="21" s="1"/>
  <c r="H79" i="21"/>
  <c r="I79" i="21" s="1"/>
  <c r="J79" i="21" s="1"/>
  <c r="H49" i="24" l="1"/>
  <c r="I49" i="24" s="1"/>
  <c r="J49" i="24" s="1"/>
  <c r="H48" i="24"/>
  <c r="I48" i="24" s="1"/>
  <c r="J48" i="24" s="1"/>
  <c r="H46" i="24"/>
  <c r="I46" i="24" s="1"/>
  <c r="J46" i="24" s="1"/>
  <c r="H44" i="24"/>
  <c r="I44" i="24" s="1"/>
  <c r="J76" i="21"/>
  <c r="J87" i="21" s="1"/>
  <c r="I87" i="21"/>
  <c r="H45" i="24"/>
  <c r="I45" i="24" s="1"/>
  <c r="J45" i="24" s="1"/>
  <c r="H47" i="24"/>
  <c r="I47" i="24" s="1"/>
  <c r="J47" i="24" s="1"/>
  <c r="K76" i="21" l="1"/>
  <c r="L80" i="21" s="1"/>
  <c r="G97" i="21" s="1"/>
  <c r="L83" i="21"/>
  <c r="G100" i="21" s="1"/>
  <c r="L82" i="21"/>
  <c r="G99" i="21" s="1"/>
  <c r="I50" i="24"/>
  <c r="K44" i="24" s="1"/>
  <c r="J44" i="24"/>
  <c r="J50" i="24" s="1"/>
  <c r="L77" i="21" l="1"/>
  <c r="G94" i="21" s="1"/>
  <c r="L86" i="21"/>
  <c r="G103" i="21" s="1"/>
  <c r="L81" i="21"/>
  <c r="G98" i="21" s="1"/>
  <c r="L78" i="21"/>
  <c r="G95" i="21" s="1"/>
  <c r="L79" i="21"/>
  <c r="G96" i="21" s="1"/>
  <c r="L76" i="21"/>
  <c r="G93" i="21" s="1"/>
  <c r="L84" i="21"/>
  <c r="G101" i="21" s="1"/>
  <c r="L85" i="21"/>
  <c r="G102" i="21" s="1"/>
  <c r="L46" i="24"/>
  <c r="G58" i="24" s="1"/>
  <c r="L47" i="24"/>
  <c r="G59" i="24" s="1"/>
  <c r="L48" i="24"/>
  <c r="G60" i="24" s="1"/>
  <c r="L44" i="24"/>
  <c r="G56" i="24" s="1"/>
  <c r="L45" i="24"/>
  <c r="G57" i="24" s="1"/>
  <c r="L49" i="24"/>
  <c r="G61" i="24" s="1"/>
  <c r="H99" i="21"/>
  <c r="I99" i="21" s="1"/>
  <c r="J99" i="21" s="1"/>
  <c r="H100" i="21"/>
  <c r="I100" i="21" s="1"/>
  <c r="J100" i="21" s="1"/>
  <c r="H94" i="21"/>
  <c r="I94" i="21" s="1"/>
  <c r="J94" i="21" s="1"/>
  <c r="H103" i="21"/>
  <c r="I103" i="21" s="1"/>
  <c r="J103" i="21" s="1"/>
  <c r="H98" i="21"/>
  <c r="I98" i="21" s="1"/>
  <c r="J98" i="21" s="1"/>
  <c r="H95" i="21"/>
  <c r="I95" i="21" s="1"/>
  <c r="J95" i="21" s="1"/>
  <c r="H96" i="21"/>
  <c r="I96" i="21" s="1"/>
  <c r="J96" i="21" s="1"/>
  <c r="H93" i="21"/>
  <c r="I93" i="21" s="1"/>
  <c r="H101" i="21"/>
  <c r="I101" i="21" s="1"/>
  <c r="J101" i="21" s="1"/>
  <c r="H102" i="21"/>
  <c r="I102" i="21" s="1"/>
  <c r="J102" i="21" s="1"/>
  <c r="H97" i="21"/>
  <c r="I97" i="21" s="1"/>
  <c r="J97" i="21" s="1"/>
  <c r="H56" i="24" l="1"/>
  <c r="I56" i="24" s="1"/>
  <c r="H60" i="24"/>
  <c r="I60" i="24" s="1"/>
  <c r="J60" i="24" s="1"/>
  <c r="H61" i="24"/>
  <c r="I61" i="24" s="1"/>
  <c r="J61" i="24" s="1"/>
  <c r="H59" i="24"/>
  <c r="I59" i="24" s="1"/>
  <c r="J59" i="24" s="1"/>
  <c r="I104" i="21"/>
  <c r="J93" i="21"/>
  <c r="J104" i="21" s="1"/>
  <c r="H57" i="24"/>
  <c r="I57" i="24" s="1"/>
  <c r="J57" i="24" s="1"/>
  <c r="H58" i="24"/>
  <c r="I58" i="24" s="1"/>
  <c r="J58" i="24" s="1"/>
  <c r="I62" i="24" l="1"/>
  <c r="J56" i="24"/>
  <c r="J62" i="24" s="1"/>
  <c r="K93" i="21"/>
  <c r="K56" i="24" l="1"/>
  <c r="L103" i="21"/>
  <c r="G120" i="21" s="1"/>
  <c r="L95" i="21"/>
  <c r="G112" i="21" s="1"/>
  <c r="L93" i="21"/>
  <c r="G110" i="21" s="1"/>
  <c r="L94" i="21"/>
  <c r="G111" i="21" s="1"/>
  <c r="L98" i="21"/>
  <c r="G115" i="21" s="1"/>
  <c r="L96" i="21"/>
  <c r="G113" i="21" s="1"/>
  <c r="L100" i="21"/>
  <c r="G117" i="21" s="1"/>
  <c r="L102" i="21"/>
  <c r="G119" i="21" s="1"/>
  <c r="L99" i="21"/>
  <c r="G116" i="21" s="1"/>
  <c r="L101" i="21"/>
  <c r="G118" i="21" s="1"/>
  <c r="L97" i="21"/>
  <c r="G114" i="21" s="1"/>
  <c r="L56" i="24"/>
  <c r="G68" i="24" s="1"/>
  <c r="L61" i="24"/>
  <c r="G73" i="24" s="1"/>
  <c r="L58" i="24"/>
  <c r="G70" i="24" s="1"/>
  <c r="L60" i="24"/>
  <c r="G72" i="24" s="1"/>
  <c r="L59" i="24"/>
  <c r="G71" i="24" s="1"/>
  <c r="L57" i="24"/>
  <c r="G69" i="24" s="1"/>
  <c r="H71" i="24" l="1"/>
  <c r="I71" i="24" s="1"/>
  <c r="J71" i="24" s="1"/>
  <c r="H68" i="24"/>
  <c r="I68" i="24" s="1"/>
  <c r="H119" i="21"/>
  <c r="I119" i="21" s="1"/>
  <c r="J119" i="21" s="1"/>
  <c r="H111" i="21"/>
  <c r="I111" i="21" s="1"/>
  <c r="J111" i="21" s="1"/>
  <c r="H72" i="24"/>
  <c r="I72" i="24" s="1"/>
  <c r="J72" i="24" s="1"/>
  <c r="H114" i="21"/>
  <c r="I114" i="21" s="1"/>
  <c r="J114" i="21" s="1"/>
  <c r="H117" i="21"/>
  <c r="I117" i="21" s="1"/>
  <c r="J117" i="21" s="1"/>
  <c r="H110" i="21"/>
  <c r="I110" i="21" s="1"/>
  <c r="H70" i="24"/>
  <c r="I70" i="24" s="1"/>
  <c r="J70" i="24" s="1"/>
  <c r="H118" i="21"/>
  <c r="I118" i="21" s="1"/>
  <c r="J118" i="21" s="1"/>
  <c r="H113" i="21"/>
  <c r="I113" i="21" s="1"/>
  <c r="J113" i="21" s="1"/>
  <c r="H112" i="21"/>
  <c r="I112" i="21" s="1"/>
  <c r="J112" i="21" s="1"/>
  <c r="H69" i="24"/>
  <c r="I69" i="24" s="1"/>
  <c r="J69" i="24" s="1"/>
  <c r="H73" i="24"/>
  <c r="I73" i="24" s="1"/>
  <c r="J73" i="24" s="1"/>
  <c r="H116" i="21"/>
  <c r="I116" i="21" s="1"/>
  <c r="J116" i="21" s="1"/>
  <c r="H115" i="21"/>
  <c r="I115" i="21" s="1"/>
  <c r="J115" i="21" s="1"/>
  <c r="H120" i="21"/>
  <c r="I120" i="21" s="1"/>
  <c r="J120" i="21" s="1"/>
  <c r="J110" i="21" l="1"/>
  <c r="J121" i="21" s="1"/>
  <c r="I121" i="21"/>
  <c r="J68" i="24"/>
  <c r="J74" i="24" s="1"/>
  <c r="I74" i="24"/>
  <c r="K68" i="24" l="1"/>
  <c r="K110" i="21"/>
  <c r="L71" i="24" l="1"/>
  <c r="G83" i="24" s="1"/>
  <c r="L72" i="24"/>
  <c r="G84" i="24" s="1"/>
  <c r="L69" i="24"/>
  <c r="G81" i="24" s="1"/>
  <c r="L70" i="24"/>
  <c r="G82" i="24" s="1"/>
  <c r="L68" i="24"/>
  <c r="G80" i="24" s="1"/>
  <c r="L73" i="24"/>
  <c r="G85" i="24" s="1"/>
  <c r="L116" i="21"/>
  <c r="G133" i="21" s="1"/>
  <c r="L120" i="21"/>
  <c r="G137" i="21" s="1"/>
  <c r="L119" i="21"/>
  <c r="G136" i="21" s="1"/>
  <c r="L117" i="21"/>
  <c r="G134" i="21" s="1"/>
  <c r="L113" i="21"/>
  <c r="G130" i="21" s="1"/>
  <c r="L114" i="21"/>
  <c r="G131" i="21" s="1"/>
  <c r="L110" i="21"/>
  <c r="G127" i="21" s="1"/>
  <c r="L118" i="21"/>
  <c r="G135" i="21" s="1"/>
  <c r="L112" i="21"/>
  <c r="G129" i="21" s="1"/>
  <c r="L115" i="21"/>
  <c r="G132" i="21" s="1"/>
  <c r="L111" i="21"/>
  <c r="G128" i="21" s="1"/>
  <c r="H132" i="21" l="1"/>
  <c r="I132" i="21" s="1"/>
  <c r="J132" i="21" s="1"/>
  <c r="H131" i="21"/>
  <c r="I131" i="21" s="1"/>
  <c r="J131" i="21" s="1"/>
  <c r="H137" i="21"/>
  <c r="I137" i="21" s="1"/>
  <c r="J137" i="21" s="1"/>
  <c r="H82" i="24"/>
  <c r="I82" i="24" s="1"/>
  <c r="J82" i="24" s="1"/>
  <c r="H129" i="21"/>
  <c r="I129" i="21" s="1"/>
  <c r="J129" i="21" s="1"/>
  <c r="H130" i="21"/>
  <c r="I130" i="21" s="1"/>
  <c r="J130" i="21" s="1"/>
  <c r="H133" i="21"/>
  <c r="I133" i="21" s="1"/>
  <c r="J133" i="21" s="1"/>
  <c r="H81" i="24"/>
  <c r="I81" i="24" s="1"/>
  <c r="J81" i="24" s="1"/>
  <c r="H135" i="21"/>
  <c r="I135" i="21" s="1"/>
  <c r="J135" i="21" s="1"/>
  <c r="H134" i="21"/>
  <c r="I134" i="21" s="1"/>
  <c r="J134" i="21" s="1"/>
  <c r="H85" i="24"/>
  <c r="I85" i="24" s="1"/>
  <c r="J85" i="24" s="1"/>
  <c r="H84" i="24"/>
  <c r="I84" i="24" s="1"/>
  <c r="J84" i="24" s="1"/>
  <c r="H128" i="21"/>
  <c r="I128" i="21" s="1"/>
  <c r="J128" i="21" s="1"/>
  <c r="H127" i="21"/>
  <c r="I127" i="21" s="1"/>
  <c r="H136" i="21"/>
  <c r="I136" i="21" s="1"/>
  <c r="J136" i="21" s="1"/>
  <c r="H80" i="24"/>
  <c r="I80" i="24" s="1"/>
  <c r="H83" i="24"/>
  <c r="I83" i="24" s="1"/>
  <c r="J83" i="24" s="1"/>
  <c r="J80" i="24" l="1"/>
  <c r="J86" i="24" s="1"/>
  <c r="I86" i="24"/>
  <c r="I138" i="21"/>
  <c r="J127" i="21"/>
  <c r="J138" i="21" s="1"/>
  <c r="K127" i="21" l="1"/>
  <c r="L135" i="21" s="1"/>
  <c r="G152" i="21" s="1"/>
  <c r="K80" i="24"/>
  <c r="L84" i="24" s="1"/>
  <c r="G96" i="24" s="1"/>
  <c r="L131" i="21"/>
  <c r="G148" i="21" s="1"/>
  <c r="L134" i="21"/>
  <c r="G151" i="21" s="1"/>
  <c r="L85" i="24"/>
  <c r="G97" i="24" s="1"/>
  <c r="L82" i="24"/>
  <c r="G94" i="24" s="1"/>
  <c r="L83" i="24" l="1"/>
  <c r="G95" i="24" s="1"/>
  <c r="L80" i="24"/>
  <c r="G92" i="24" s="1"/>
  <c r="L81" i="24"/>
  <c r="G93" i="24" s="1"/>
  <c r="L133" i="21"/>
  <c r="G150" i="21" s="1"/>
  <c r="H150" i="21" s="1"/>
  <c r="I150" i="21" s="1"/>
  <c r="J150" i="21" s="1"/>
  <c r="L130" i="21"/>
  <c r="G147" i="21" s="1"/>
  <c r="L136" i="21"/>
  <c r="G153" i="21" s="1"/>
  <c r="L129" i="21"/>
  <c r="G146" i="21" s="1"/>
  <c r="L128" i="21"/>
  <c r="G145" i="21" s="1"/>
  <c r="H145" i="21" s="1"/>
  <c r="I145" i="21" s="1"/>
  <c r="J145" i="21" s="1"/>
  <c r="L132" i="21"/>
  <c r="G149" i="21" s="1"/>
  <c r="H149" i="21" s="1"/>
  <c r="I149" i="21" s="1"/>
  <c r="J149" i="21" s="1"/>
  <c r="L137" i="21"/>
  <c r="G154" i="21" s="1"/>
  <c r="L127" i="21"/>
  <c r="G144" i="21" s="1"/>
  <c r="H94" i="24"/>
  <c r="I94" i="24" s="1"/>
  <c r="J94" i="24" s="1"/>
  <c r="H95" i="24"/>
  <c r="I95" i="24" s="1"/>
  <c r="J95" i="24" s="1"/>
  <c r="H148" i="21"/>
  <c r="I148" i="21" s="1"/>
  <c r="J148" i="21" s="1"/>
  <c r="H97" i="24"/>
  <c r="I97" i="24" s="1"/>
  <c r="J97" i="24" s="1"/>
  <c r="H144" i="21"/>
  <c r="I144" i="21" s="1"/>
  <c r="H152" i="21"/>
  <c r="I152" i="21" s="1"/>
  <c r="J152" i="21" s="1"/>
  <c r="H151" i="21"/>
  <c r="I151" i="21" s="1"/>
  <c r="J151" i="21" s="1"/>
  <c r="H92" i="24"/>
  <c r="I92" i="24" s="1"/>
  <c r="H147" i="21"/>
  <c r="I147" i="21" s="1"/>
  <c r="J147" i="21" s="1"/>
  <c r="H153" i="21"/>
  <c r="I153" i="21" s="1"/>
  <c r="J153" i="21" s="1"/>
  <c r="H146" i="21"/>
  <c r="I146" i="21" s="1"/>
  <c r="J146" i="21" s="1"/>
  <c r="H93" i="24"/>
  <c r="I93" i="24" s="1"/>
  <c r="J93" i="24" s="1"/>
  <c r="H96" i="24"/>
  <c r="I96" i="24" s="1"/>
  <c r="J96" i="24" s="1"/>
  <c r="H154" i="21"/>
  <c r="I154" i="21" s="1"/>
  <c r="J154" i="21" s="1"/>
  <c r="J144" i="21" l="1"/>
  <c r="J155" i="21" s="1"/>
  <c r="I155" i="21"/>
  <c r="I98" i="24"/>
  <c r="J92" i="24"/>
  <c r="J98" i="24" s="1"/>
  <c r="K92" i="24" l="1"/>
  <c r="K144" i="21"/>
  <c r="L148" i="21" l="1"/>
  <c r="G165" i="21" s="1"/>
  <c r="L152" i="21"/>
  <c r="G169" i="21" s="1"/>
  <c r="L154" i="21"/>
  <c r="G171" i="21" s="1"/>
  <c r="L146" i="21"/>
  <c r="G163" i="21" s="1"/>
  <c r="L153" i="21"/>
  <c r="G170" i="21" s="1"/>
  <c r="L145" i="21"/>
  <c r="G162" i="21" s="1"/>
  <c r="L150" i="21"/>
  <c r="G167" i="21" s="1"/>
  <c r="L144" i="21"/>
  <c r="G161" i="21" s="1"/>
  <c r="L151" i="21"/>
  <c r="G168" i="21" s="1"/>
  <c r="L147" i="21"/>
  <c r="G164" i="21" s="1"/>
  <c r="L149" i="21"/>
  <c r="G166" i="21" s="1"/>
  <c r="L94" i="24"/>
  <c r="G106" i="24" s="1"/>
  <c r="L92" i="24"/>
  <c r="G104" i="24" s="1"/>
  <c r="L97" i="24"/>
  <c r="G109" i="24" s="1"/>
  <c r="L93" i="24"/>
  <c r="G105" i="24" s="1"/>
  <c r="L95" i="24"/>
  <c r="G107" i="24" s="1"/>
  <c r="L96" i="24"/>
  <c r="G108" i="24" s="1"/>
  <c r="H106" i="24" l="1"/>
  <c r="I106" i="24" s="1"/>
  <c r="J106" i="24" s="1"/>
  <c r="H105" i="24"/>
  <c r="I105" i="24" s="1"/>
  <c r="J105" i="24" s="1"/>
  <c r="H167" i="21"/>
  <c r="I167" i="21" s="1"/>
  <c r="J167" i="21" s="1"/>
  <c r="H171" i="21"/>
  <c r="I171" i="21" s="1"/>
  <c r="J171" i="21" s="1"/>
  <c r="H107" i="24"/>
  <c r="I107" i="24" s="1"/>
  <c r="J107" i="24" s="1"/>
  <c r="H161" i="21"/>
  <c r="I161" i="21" s="1"/>
  <c r="H163" i="21"/>
  <c r="I163" i="21" s="1"/>
  <c r="J163" i="21" s="1"/>
  <c r="H166" i="21"/>
  <c r="I166" i="21" s="1"/>
  <c r="J166" i="21" s="1"/>
  <c r="H109" i="24"/>
  <c r="I109" i="24" s="1"/>
  <c r="J109" i="24" s="1"/>
  <c r="H164" i="21"/>
  <c r="I164" i="21" s="1"/>
  <c r="J164" i="21" s="1"/>
  <c r="H162" i="21"/>
  <c r="I162" i="21" s="1"/>
  <c r="J162" i="21" s="1"/>
  <c r="H169" i="21"/>
  <c r="I169" i="21" s="1"/>
  <c r="J169" i="21" s="1"/>
  <c r="H108" i="24"/>
  <c r="I108" i="24" s="1"/>
  <c r="J108" i="24" s="1"/>
  <c r="H104" i="24"/>
  <c r="I104" i="24" s="1"/>
  <c r="H168" i="21"/>
  <c r="I168" i="21" s="1"/>
  <c r="J168" i="21" s="1"/>
  <c r="H170" i="21"/>
  <c r="I170" i="21" s="1"/>
  <c r="J170" i="21" s="1"/>
  <c r="H165" i="21"/>
  <c r="I165" i="21" s="1"/>
  <c r="J165" i="21" s="1"/>
  <c r="I110" i="24" l="1"/>
  <c r="J104" i="24"/>
  <c r="J110" i="24" s="1"/>
  <c r="I172" i="21"/>
  <c r="J161" i="21"/>
  <c r="J172" i="21" s="1"/>
  <c r="K104" i="24" l="1"/>
  <c r="K161" i="21"/>
  <c r="L106" i="24"/>
  <c r="G118" i="24" s="1"/>
  <c r="L107" i="24"/>
  <c r="G119" i="24" s="1"/>
  <c r="L109" i="24"/>
  <c r="G121" i="24" s="1"/>
  <c r="L108" i="24"/>
  <c r="G120" i="24" s="1"/>
  <c r="L104" i="24"/>
  <c r="G116" i="24" s="1"/>
  <c r="L105" i="24"/>
  <c r="G117" i="24" s="1"/>
  <c r="H121" i="24" l="1"/>
  <c r="I121" i="24" s="1"/>
  <c r="J121" i="24" s="1"/>
  <c r="H117" i="24"/>
  <c r="I117" i="24" s="1"/>
  <c r="J117" i="24" s="1"/>
  <c r="H119" i="24"/>
  <c r="I119" i="24" s="1"/>
  <c r="J119" i="24" s="1"/>
  <c r="H116" i="24"/>
  <c r="I116" i="24" s="1"/>
  <c r="H118" i="24"/>
  <c r="I118" i="24" s="1"/>
  <c r="J118" i="24" s="1"/>
  <c r="H120" i="24"/>
  <c r="I120" i="24" s="1"/>
  <c r="J120" i="24" s="1"/>
  <c r="L167" i="21"/>
  <c r="G184" i="21" s="1"/>
  <c r="L163" i="21"/>
  <c r="G180" i="21" s="1"/>
  <c r="L162" i="21"/>
  <c r="G179" i="21" s="1"/>
  <c r="L168" i="21"/>
  <c r="G185" i="21" s="1"/>
  <c r="L169" i="21"/>
  <c r="G186" i="21" s="1"/>
  <c r="L166" i="21"/>
  <c r="G183" i="21" s="1"/>
  <c r="L164" i="21"/>
  <c r="G181" i="21" s="1"/>
  <c r="L170" i="21"/>
  <c r="G187" i="21" s="1"/>
  <c r="L165" i="21"/>
  <c r="G182" i="21" s="1"/>
  <c r="L171" i="21"/>
  <c r="G188" i="21" s="1"/>
  <c r="L161" i="21"/>
  <c r="G178" i="21" s="1"/>
  <c r="H187" i="21" l="1"/>
  <c r="I187" i="21" s="1"/>
  <c r="J187" i="21" s="1"/>
  <c r="L187" i="21"/>
  <c r="G204" i="21" s="1"/>
  <c r="H185" i="21"/>
  <c r="I185" i="21" s="1"/>
  <c r="J185" i="21" s="1"/>
  <c r="L185" i="21"/>
  <c r="G202" i="21" s="1"/>
  <c r="I122" i="24"/>
  <c r="K116" i="24" s="1"/>
  <c r="J116" i="24"/>
  <c r="J122" i="24" s="1"/>
  <c r="L178" i="21"/>
  <c r="G195" i="21" s="1"/>
  <c r="H178" i="21"/>
  <c r="I178" i="21" s="1"/>
  <c r="H181" i="21"/>
  <c r="I181" i="21" s="1"/>
  <c r="J181" i="21" s="1"/>
  <c r="L181" i="21"/>
  <c r="G198" i="21" s="1"/>
  <c r="H179" i="21"/>
  <c r="I179" i="21" s="1"/>
  <c r="J179" i="21" s="1"/>
  <c r="L179" i="21"/>
  <c r="G196" i="21" s="1"/>
  <c r="L188" i="21"/>
  <c r="G205" i="21" s="1"/>
  <c r="H188" i="21"/>
  <c r="I188" i="21" s="1"/>
  <c r="J188" i="21" s="1"/>
  <c r="H183" i="21"/>
  <c r="I183" i="21" s="1"/>
  <c r="J183" i="21" s="1"/>
  <c r="L183" i="21"/>
  <c r="G200" i="21" s="1"/>
  <c r="L180" i="21"/>
  <c r="G197" i="21" s="1"/>
  <c r="H180" i="21"/>
  <c r="I180" i="21" s="1"/>
  <c r="J180" i="21" s="1"/>
  <c r="L182" i="21"/>
  <c r="G199" i="21" s="1"/>
  <c r="H182" i="21"/>
  <c r="I182" i="21" s="1"/>
  <c r="J182" i="21" s="1"/>
  <c r="L186" i="21"/>
  <c r="G203" i="21" s="1"/>
  <c r="H186" i="21"/>
  <c r="I186" i="21" s="1"/>
  <c r="J186" i="21" s="1"/>
  <c r="L184" i="21"/>
  <c r="G201" i="21" s="1"/>
  <c r="H184" i="21"/>
  <c r="I184" i="21" s="1"/>
  <c r="J184" i="21" s="1"/>
  <c r="H201" i="21" l="1"/>
  <c r="I201" i="21" s="1"/>
  <c r="J201" i="21" s="1"/>
  <c r="H199" i="21"/>
  <c r="I199" i="21" s="1"/>
  <c r="J199" i="21" s="1"/>
  <c r="H200" i="21"/>
  <c r="I200" i="21" s="1"/>
  <c r="J200" i="21" s="1"/>
  <c r="H196" i="21"/>
  <c r="I196" i="21" s="1"/>
  <c r="J196" i="21" s="1"/>
  <c r="J178" i="21"/>
  <c r="J189" i="21" s="1"/>
  <c r="I189" i="21"/>
  <c r="H202" i="21"/>
  <c r="I202" i="21" s="1"/>
  <c r="J202" i="21" s="1"/>
  <c r="H195" i="21"/>
  <c r="I195" i="21" s="1"/>
  <c r="H198" i="21"/>
  <c r="I198" i="21" s="1"/>
  <c r="J198" i="21" s="1"/>
  <c r="H204" i="21"/>
  <c r="I204" i="21" s="1"/>
  <c r="J204" i="21" s="1"/>
  <c r="H203" i="21"/>
  <c r="I203" i="21" s="1"/>
  <c r="J203" i="21" s="1"/>
  <c r="H197" i="21"/>
  <c r="I197" i="21" s="1"/>
  <c r="J197" i="21" s="1"/>
  <c r="H205" i="21"/>
  <c r="I205" i="21" s="1"/>
  <c r="J205" i="21" s="1"/>
  <c r="L121" i="24"/>
  <c r="G133" i="24" s="1"/>
  <c r="L119" i="24"/>
  <c r="G131" i="24" s="1"/>
  <c r="L118" i="24"/>
  <c r="G130" i="24" s="1"/>
  <c r="L117" i="24"/>
  <c r="G129" i="24" s="1"/>
  <c r="L116" i="24"/>
  <c r="G128" i="24" s="1"/>
  <c r="L120" i="24"/>
  <c r="G132" i="24" s="1"/>
  <c r="H130" i="24" l="1"/>
  <c r="I130" i="24" s="1"/>
  <c r="J130" i="24" s="1"/>
  <c r="H129" i="24"/>
  <c r="I129" i="24" s="1"/>
  <c r="J129" i="24" s="1"/>
  <c r="H132" i="24"/>
  <c r="I132" i="24" s="1"/>
  <c r="J132" i="24" s="1"/>
  <c r="H131" i="24"/>
  <c r="I131" i="24" s="1"/>
  <c r="J131" i="24" s="1"/>
  <c r="I206" i="21"/>
  <c r="J195" i="21"/>
  <c r="J206" i="21" s="1"/>
  <c r="K178" i="21"/>
  <c r="H128" i="24"/>
  <c r="I128" i="24" s="1"/>
  <c r="H133" i="24"/>
  <c r="I133" i="24" s="1"/>
  <c r="J133" i="24" s="1"/>
  <c r="I134" i="24" l="1"/>
  <c r="J128" i="24"/>
  <c r="J134" i="24" s="1"/>
  <c r="K195" i="21"/>
  <c r="K128" i="24" l="1"/>
  <c r="L201" i="21"/>
  <c r="G218" i="21" s="1"/>
  <c r="L195" i="21"/>
  <c r="G212" i="21" s="1"/>
  <c r="L197" i="21"/>
  <c r="G214" i="21" s="1"/>
  <c r="L200" i="21"/>
  <c r="G217" i="21" s="1"/>
  <c r="L204" i="21"/>
  <c r="G221" i="21" s="1"/>
  <c r="L199" i="21"/>
  <c r="G216" i="21" s="1"/>
  <c r="L196" i="21"/>
  <c r="G213" i="21" s="1"/>
  <c r="L202" i="21"/>
  <c r="G219" i="21" s="1"/>
  <c r="L198" i="21"/>
  <c r="G215" i="21" s="1"/>
  <c r="L203" i="21"/>
  <c r="G220" i="21" s="1"/>
  <c r="L205" i="21"/>
  <c r="G222" i="21" s="1"/>
  <c r="L130" i="24"/>
  <c r="G142" i="24" s="1"/>
  <c r="L132" i="24"/>
  <c r="G144" i="24" s="1"/>
  <c r="L131" i="24"/>
  <c r="G143" i="24" s="1"/>
  <c r="L133" i="24"/>
  <c r="G145" i="24" s="1"/>
  <c r="L129" i="24"/>
  <c r="G141" i="24" s="1"/>
  <c r="L128" i="24"/>
  <c r="G140" i="24" s="1"/>
  <c r="H219" i="21" l="1"/>
  <c r="I219" i="21" s="1"/>
  <c r="J219" i="21" s="1"/>
  <c r="H217" i="21"/>
  <c r="I217" i="21" s="1"/>
  <c r="J217" i="21" s="1"/>
  <c r="H141" i="24"/>
  <c r="I141" i="24" s="1"/>
  <c r="J141" i="24" s="1"/>
  <c r="H145" i="24"/>
  <c r="I145" i="24" s="1"/>
  <c r="J145" i="24" s="1"/>
  <c r="H222" i="21"/>
  <c r="I222" i="21" s="1"/>
  <c r="J222" i="21" s="1"/>
  <c r="H214" i="21"/>
  <c r="I214" i="21" s="1"/>
  <c r="J214" i="21" s="1"/>
  <c r="H143" i="24"/>
  <c r="I143" i="24" s="1"/>
  <c r="J143" i="24" s="1"/>
  <c r="H220" i="21"/>
  <c r="I220" i="21" s="1"/>
  <c r="J220" i="21" s="1"/>
  <c r="H216" i="21"/>
  <c r="I216" i="21" s="1"/>
  <c r="J216" i="21" s="1"/>
  <c r="H212" i="21"/>
  <c r="I212" i="21" s="1"/>
  <c r="H142" i="24"/>
  <c r="I142" i="24" s="1"/>
  <c r="J142" i="24" s="1"/>
  <c r="H213" i="21"/>
  <c r="I213" i="21" s="1"/>
  <c r="J213" i="21" s="1"/>
  <c r="H140" i="24"/>
  <c r="I140" i="24" s="1"/>
  <c r="H144" i="24"/>
  <c r="I144" i="24" s="1"/>
  <c r="J144" i="24" s="1"/>
  <c r="H215" i="21"/>
  <c r="I215" i="21" s="1"/>
  <c r="J215" i="21" s="1"/>
  <c r="H221" i="21"/>
  <c r="I221" i="21" s="1"/>
  <c r="J221" i="21" s="1"/>
  <c r="H218" i="21"/>
  <c r="I218" i="21" s="1"/>
  <c r="J218" i="21" s="1"/>
  <c r="J212" i="21" l="1"/>
  <c r="J223" i="21" s="1"/>
  <c r="I223" i="21"/>
  <c r="J140" i="24"/>
  <c r="J146" i="24" s="1"/>
  <c r="I146" i="24"/>
  <c r="K140" i="24" l="1"/>
  <c r="K212" i="21"/>
  <c r="L222" i="21" l="1"/>
  <c r="G239" i="21" s="1"/>
  <c r="L216" i="21"/>
  <c r="G233" i="21" s="1"/>
  <c r="L218" i="21"/>
  <c r="G235" i="21" s="1"/>
  <c r="L221" i="21"/>
  <c r="G238" i="21" s="1"/>
  <c r="L219" i="21"/>
  <c r="G236" i="21" s="1"/>
  <c r="L215" i="21"/>
  <c r="G232" i="21" s="1"/>
  <c r="L217" i="21"/>
  <c r="G234" i="21" s="1"/>
  <c r="L213" i="21"/>
  <c r="G230" i="21" s="1"/>
  <c r="L214" i="21"/>
  <c r="G231" i="21" s="1"/>
  <c r="L220" i="21"/>
  <c r="G237" i="21" s="1"/>
  <c r="L212" i="21"/>
  <c r="G229" i="21" s="1"/>
  <c r="L141" i="24"/>
  <c r="G153" i="24" s="1"/>
  <c r="L143" i="24"/>
  <c r="G155" i="24" s="1"/>
  <c r="L142" i="24"/>
  <c r="G154" i="24" s="1"/>
  <c r="L140" i="24"/>
  <c r="G152" i="24" s="1"/>
  <c r="L145" i="24"/>
  <c r="G157" i="24" s="1"/>
  <c r="L144" i="24"/>
  <c r="G156" i="24" s="1"/>
  <c r="H153" i="24" l="1"/>
  <c r="I153" i="24" s="1"/>
  <c r="J153" i="24" s="1"/>
  <c r="H238" i="21"/>
  <c r="I238" i="21" s="1"/>
  <c r="J238" i="21" s="1"/>
  <c r="H234" i="21"/>
  <c r="I234" i="21" s="1"/>
  <c r="J234" i="21" s="1"/>
  <c r="H235" i="21"/>
  <c r="I235" i="21" s="1"/>
  <c r="J235" i="21" s="1"/>
  <c r="H157" i="24"/>
  <c r="I157" i="24" s="1"/>
  <c r="J157" i="24" s="1"/>
  <c r="H230" i="21"/>
  <c r="I230" i="21" s="1"/>
  <c r="J230" i="21" s="1"/>
  <c r="H152" i="24"/>
  <c r="I152" i="24" s="1"/>
  <c r="H229" i="21"/>
  <c r="I229" i="21" s="1"/>
  <c r="H154" i="24"/>
  <c r="I154" i="24" s="1"/>
  <c r="J154" i="24" s="1"/>
  <c r="H237" i="21"/>
  <c r="I237" i="21" s="1"/>
  <c r="J237" i="21" s="1"/>
  <c r="H232" i="21"/>
  <c r="I232" i="21" s="1"/>
  <c r="J232" i="21" s="1"/>
  <c r="H233" i="21"/>
  <c r="I233" i="21" s="1"/>
  <c r="J233" i="21" s="1"/>
  <c r="H156" i="24"/>
  <c r="I156" i="24" s="1"/>
  <c r="J156" i="24" s="1"/>
  <c r="H155" i="24"/>
  <c r="I155" i="24" s="1"/>
  <c r="J155" i="24" s="1"/>
  <c r="H231" i="21"/>
  <c r="I231" i="21" s="1"/>
  <c r="J231" i="21" s="1"/>
  <c r="H236" i="21"/>
  <c r="I236" i="21" s="1"/>
  <c r="J236" i="21" s="1"/>
  <c r="H239" i="21"/>
  <c r="I239" i="21" s="1"/>
  <c r="J239" i="21" s="1"/>
  <c r="I240" i="21" l="1"/>
  <c r="J229" i="21"/>
  <c r="J240" i="21" s="1"/>
  <c r="I158" i="24"/>
  <c r="J152" i="24"/>
  <c r="J158" i="24" s="1"/>
  <c r="K152" i="24" l="1"/>
  <c r="K229" i="21"/>
  <c r="L153" i="24" l="1"/>
  <c r="G165" i="24" s="1"/>
  <c r="L157" i="24"/>
  <c r="G169" i="24" s="1"/>
  <c r="L152" i="24"/>
  <c r="G164" i="24" s="1"/>
  <c r="L156" i="24"/>
  <c r="G168" i="24" s="1"/>
  <c r="L154" i="24"/>
  <c r="G166" i="24" s="1"/>
  <c r="L155" i="24"/>
  <c r="G167" i="24" s="1"/>
  <c r="L231" i="21"/>
  <c r="G248" i="21" s="1"/>
  <c r="L239" i="21"/>
  <c r="G256" i="21" s="1"/>
  <c r="L234" i="21"/>
  <c r="G251" i="21" s="1"/>
  <c r="L232" i="21"/>
  <c r="G249" i="21" s="1"/>
  <c r="L238" i="21"/>
  <c r="G255" i="21" s="1"/>
  <c r="L235" i="21"/>
  <c r="G252" i="21" s="1"/>
  <c r="L229" i="21"/>
  <c r="G246" i="21" s="1"/>
  <c r="L237" i="21"/>
  <c r="G254" i="21" s="1"/>
  <c r="L233" i="21"/>
  <c r="G250" i="21" s="1"/>
  <c r="L230" i="21"/>
  <c r="G247" i="21" s="1"/>
  <c r="L236" i="21"/>
  <c r="G253" i="21" s="1"/>
  <c r="H247" i="21" l="1"/>
  <c r="I247" i="21" s="1"/>
  <c r="G10" i="22"/>
  <c r="L247" i="21"/>
  <c r="G24" i="22"/>
  <c r="H168" i="24"/>
  <c r="I168" i="24" s="1"/>
  <c r="H255" i="21"/>
  <c r="I255" i="21" s="1"/>
  <c r="G18" i="22"/>
  <c r="L255" i="21"/>
  <c r="L248" i="21"/>
  <c r="G11" i="22"/>
  <c r="H248" i="21"/>
  <c r="I248" i="21" s="1"/>
  <c r="G20" i="22"/>
  <c r="H164" i="24"/>
  <c r="I164" i="24" s="1"/>
  <c r="L252" i="21"/>
  <c r="G15" i="22"/>
  <c r="H252" i="21"/>
  <c r="I252" i="21" s="1"/>
  <c r="L256" i="21"/>
  <c r="G19" i="22"/>
  <c r="H256" i="21"/>
  <c r="I256" i="21" s="1"/>
  <c r="L250" i="21"/>
  <c r="G13" i="22"/>
  <c r="H250" i="21"/>
  <c r="I250" i="21" s="1"/>
  <c r="L254" i="21"/>
  <c r="G17" i="22"/>
  <c r="H254" i="21"/>
  <c r="I254" i="21" s="1"/>
  <c r="H249" i="21"/>
  <c r="I249" i="21" s="1"/>
  <c r="G12" i="22"/>
  <c r="L249" i="21"/>
  <c r="H167" i="24"/>
  <c r="I167" i="24" s="1"/>
  <c r="G23" i="22"/>
  <c r="G25" i="22"/>
  <c r="H169" i="24"/>
  <c r="I169" i="24" s="1"/>
  <c r="H253" i="21"/>
  <c r="I253" i="21" s="1"/>
  <c r="G16" i="22"/>
  <c r="L253" i="21"/>
  <c r="L246" i="21"/>
  <c r="G9" i="22"/>
  <c r="H246" i="21"/>
  <c r="I246" i="21" s="1"/>
  <c r="H251" i="21"/>
  <c r="I251" i="21" s="1"/>
  <c r="G14" i="22"/>
  <c r="L251" i="21"/>
  <c r="H166" i="24"/>
  <c r="I166" i="24" s="1"/>
  <c r="G22" i="22"/>
  <c r="H165" i="24"/>
  <c r="I165" i="24" s="1"/>
  <c r="G21" i="22"/>
  <c r="J169" i="24" l="1"/>
  <c r="L25" i="22"/>
  <c r="J248" i="21"/>
  <c r="L11" i="22"/>
  <c r="J251" i="21"/>
  <c r="L14" i="22"/>
  <c r="J254" i="21"/>
  <c r="L17" i="22"/>
  <c r="J13" i="22"/>
  <c r="H13" i="22"/>
  <c r="L20" i="22"/>
  <c r="I170" i="24"/>
  <c r="J164" i="24"/>
  <c r="H11" i="22"/>
  <c r="J11" i="22"/>
  <c r="J255" i="21"/>
  <c r="L18" i="22"/>
  <c r="J22" i="22"/>
  <c r="H22" i="22"/>
  <c r="J249" i="21"/>
  <c r="L12" i="22"/>
  <c r="J19" i="22"/>
  <c r="H19" i="22"/>
  <c r="H18" i="22"/>
  <c r="J18" i="22"/>
  <c r="J24" i="22"/>
  <c r="H24" i="22"/>
  <c r="J167" i="24"/>
  <c r="L23" i="22"/>
  <c r="J21" i="22"/>
  <c r="H21" i="22"/>
  <c r="J166" i="24"/>
  <c r="L22" i="22"/>
  <c r="L9" i="22"/>
  <c r="J246" i="21"/>
  <c r="I257" i="21"/>
  <c r="J16" i="22"/>
  <c r="H16" i="22"/>
  <c r="H25" i="22"/>
  <c r="J25" i="22"/>
  <c r="J17" i="22"/>
  <c r="H17" i="22"/>
  <c r="J252" i="21"/>
  <c r="L15" i="22"/>
  <c r="J20" i="22"/>
  <c r="H20" i="22"/>
  <c r="J168" i="24"/>
  <c r="L24" i="22"/>
  <c r="J10" i="22"/>
  <c r="H10" i="22"/>
  <c r="J14" i="22"/>
  <c r="H14" i="22"/>
  <c r="J250" i="21"/>
  <c r="L13" i="22"/>
  <c r="J165" i="24"/>
  <c r="L21" i="22"/>
  <c r="J9" i="22"/>
  <c r="H9" i="22"/>
  <c r="J253" i="21"/>
  <c r="L16" i="22"/>
  <c r="J23" i="22"/>
  <c r="H23" i="22"/>
  <c r="H12" i="22"/>
  <c r="J12" i="22"/>
  <c r="J256" i="21"/>
  <c r="L19" i="22"/>
  <c r="H15" i="22"/>
  <c r="J15" i="22"/>
  <c r="J247" i="21"/>
  <c r="L10" i="22"/>
  <c r="K14" i="22" l="1"/>
  <c r="C20" i="27"/>
  <c r="H20" i="27" s="1"/>
  <c r="J257" i="21"/>
  <c r="K246" i="21" s="1"/>
  <c r="K11" i="22"/>
  <c r="C14" i="27"/>
  <c r="K12" i="22"/>
  <c r="C16" i="27"/>
  <c r="K25" i="22"/>
  <c r="C39" i="27"/>
  <c r="K21" i="22"/>
  <c r="C31" i="27"/>
  <c r="K24" i="22"/>
  <c r="C37" i="27"/>
  <c r="K19" i="22"/>
  <c r="C27" i="27"/>
  <c r="H27" i="27" s="1"/>
  <c r="K22" i="22"/>
  <c r="C33" i="27"/>
  <c r="H33" i="27" s="1"/>
  <c r="K15" i="22"/>
  <c r="C21" i="27"/>
  <c r="P16" i="22"/>
  <c r="K23" i="22"/>
  <c r="C34" i="27"/>
  <c r="K9" i="22"/>
  <c r="C9" i="27"/>
  <c r="K10" i="22"/>
  <c r="C12" i="27"/>
  <c r="K20" i="22"/>
  <c r="C28" i="27"/>
  <c r="K17" i="22"/>
  <c r="C24" i="27"/>
  <c r="K16" i="22"/>
  <c r="C23" i="27"/>
  <c r="H23" i="27" s="1"/>
  <c r="K18" i="22"/>
  <c r="C26" i="27"/>
  <c r="H26" i="27" s="1"/>
  <c r="J170" i="24"/>
  <c r="K164" i="24" s="1"/>
  <c r="K13" i="22"/>
  <c r="C18" i="27"/>
  <c r="M19" i="22" l="1"/>
  <c r="N19" i="22" s="1"/>
  <c r="I27" i="27"/>
  <c r="M16" i="22"/>
  <c r="N16" i="22" s="1"/>
  <c r="I23" i="27"/>
  <c r="M18" i="22"/>
  <c r="N18" i="22" s="1"/>
  <c r="I26" i="27"/>
  <c r="M14" i="22"/>
  <c r="N14" i="22" s="1"/>
  <c r="I20" i="27"/>
  <c r="M22" i="22"/>
  <c r="N22" i="22" s="1"/>
  <c r="I33" i="27"/>
  <c r="L168" i="24"/>
  <c r="L164" i="24"/>
  <c r="L166" i="24"/>
  <c r="L165" i="24"/>
  <c r="L167" i="24"/>
  <c r="L169" i="24"/>
  <c r="H29" i="27"/>
  <c r="H30" i="27"/>
  <c r="H28" i="27"/>
  <c r="I28" i="27" s="1"/>
  <c r="H9" i="27"/>
  <c r="H10" i="27"/>
  <c r="H11" i="27"/>
  <c r="H17" i="27"/>
  <c r="H16" i="27"/>
  <c r="H19" i="27"/>
  <c r="H18" i="27"/>
  <c r="H22" i="27"/>
  <c r="H21" i="27"/>
  <c r="H38" i="27"/>
  <c r="H37" i="27"/>
  <c r="H15" i="27"/>
  <c r="H14" i="27"/>
  <c r="P17" i="22"/>
  <c r="Q16" i="22"/>
  <c r="H32" i="27"/>
  <c r="H31" i="27"/>
  <c r="H40" i="27"/>
  <c r="H41" i="27"/>
  <c r="H39" i="27"/>
  <c r="I39" i="27" s="1"/>
  <c r="H24" i="27"/>
  <c r="H25" i="27"/>
  <c r="H13" i="27"/>
  <c r="H12" i="27"/>
  <c r="I12" i="27" s="1"/>
  <c r="H34" i="27"/>
  <c r="H35" i="27"/>
  <c r="H36" i="27"/>
  <c r="I37" i="27" l="1"/>
  <c r="I18" i="27"/>
  <c r="I34" i="27"/>
  <c r="I24" i="27"/>
  <c r="M21" i="22"/>
  <c r="N21" i="22" s="1"/>
  <c r="I31" i="27"/>
  <c r="M11" i="22"/>
  <c r="N11" i="22" s="1"/>
  <c r="I14" i="27"/>
  <c r="M15" i="22"/>
  <c r="N15" i="22" s="1"/>
  <c r="I21" i="27"/>
  <c r="M12" i="22"/>
  <c r="N12" i="22" s="1"/>
  <c r="I16" i="27"/>
  <c r="I9" i="27"/>
  <c r="M24" i="22"/>
  <c r="N24" i="22" s="1"/>
  <c r="M13" i="22"/>
  <c r="N13" i="22" s="1"/>
  <c r="M23" i="22"/>
  <c r="N23" i="22" s="1"/>
  <c r="M9" i="22"/>
  <c r="N9" i="22" s="1"/>
  <c r="P9" i="22" s="1"/>
  <c r="Q9" i="22" s="1"/>
  <c r="M17" i="22"/>
  <c r="N17" i="22" s="1"/>
  <c r="Q17" i="22"/>
  <c r="P18" i="22"/>
  <c r="M10" i="22"/>
  <c r="N10" i="22" s="1"/>
  <c r="M25" i="22"/>
  <c r="N25" i="22" s="1"/>
  <c r="M20" i="22"/>
  <c r="N20" i="22" s="1"/>
  <c r="P10" i="22" l="1"/>
  <c r="Q10" i="22" s="1"/>
  <c r="Q18" i="22"/>
  <c r="P19" i="22"/>
  <c r="P11" i="22" l="1"/>
  <c r="P20" i="22"/>
  <c r="Q19" i="22"/>
  <c r="P12" i="22"/>
  <c r="Q11" i="22"/>
  <c r="Q12" i="22" l="1"/>
  <c r="P13" i="22"/>
  <c r="P21" i="22"/>
  <c r="Q20" i="22"/>
  <c r="P22" i="22" l="1"/>
  <c r="Q21" i="22"/>
  <c r="Q13" i="22"/>
  <c r="P14" i="22"/>
  <c r="Q14" i="22" l="1"/>
  <c r="P15" i="22"/>
  <c r="Q15" i="22" s="1"/>
  <c r="P23" i="22"/>
  <c r="P25" i="22"/>
  <c r="Q25" i="22" s="1"/>
  <c r="Q22" i="22"/>
  <c r="P24" i="22" l="1"/>
  <c r="Q24" i="22" s="1"/>
  <c r="Q23" i="22"/>
  <c r="M23" i="7" l="1"/>
</calcChain>
</file>

<file path=xl/sharedStrings.xml><?xml version="1.0" encoding="utf-8"?>
<sst xmlns="http://schemas.openxmlformats.org/spreadsheetml/2006/main" count="1499" uniqueCount="214">
  <si>
    <t>Pf =</t>
  </si>
  <si>
    <t>Tf =</t>
  </si>
  <si>
    <t>Altura sobre el nivel del mar (m.s.n.m.):</t>
  </si>
  <si>
    <t>Dotación Neta Máxima:</t>
  </si>
  <si>
    <t>Altura promedio sobre el nivel del mar de la zona atendida</t>
  </si>
  <si>
    <t>Dotación Neta Máxima</t>
  </si>
  <si>
    <t>m.s.n.m.</t>
  </si>
  <si>
    <t>L/Hab*día</t>
  </si>
  <si>
    <t>&gt; 2000</t>
  </si>
  <si>
    <t>1000 - 2000</t>
  </si>
  <si>
    <t>&lt; 1000</t>
  </si>
  <si>
    <t>Dotación Bruta:</t>
  </si>
  <si>
    <t>dneta / (1 - %perdidas)</t>
  </si>
  <si>
    <t>Dbruta =</t>
  </si>
  <si>
    <t>Población proyectada * Dbruta</t>
  </si>
  <si>
    <t>Caudal Medio:</t>
  </si>
  <si>
    <t>Qmedio (L/día):</t>
  </si>
  <si>
    <t>Qmedio (L/s):</t>
  </si>
  <si>
    <t>Caudal Máximo Diario:</t>
  </si>
  <si>
    <t>QMD (L/s):</t>
  </si>
  <si>
    <t>Factores de Mayoración:</t>
  </si>
  <si>
    <t>K1:</t>
  </si>
  <si>
    <t>K2:</t>
  </si>
  <si>
    <t>Qmedio * K1</t>
  </si>
  <si>
    <t>Caudal Máximo Horario:</t>
  </si>
  <si>
    <t>QMD * K2</t>
  </si>
  <si>
    <t>QMH (L/s):</t>
  </si>
  <si>
    <t>QMH:</t>
  </si>
  <si>
    <t>L/s</t>
  </si>
  <si>
    <t>TRAMO</t>
  </si>
  <si>
    <t>Q TOTAL:</t>
  </si>
  <si>
    <t>q:</t>
  </si>
  <si>
    <t>L/ s*m</t>
  </si>
  <si>
    <t>DISTRIBUCIÓN CAUDAL UNITARIO "q" CONSUMO DOMESTICO POR TRAMO</t>
  </si>
  <si>
    <t>LONGITUD PROPIA (m)</t>
  </si>
  <si>
    <t>LONGITUD TOTAL (m)</t>
  </si>
  <si>
    <t>CAUDAL (L/s)</t>
  </si>
  <si>
    <t>1 - 2</t>
  </si>
  <si>
    <t>2 - 3</t>
  </si>
  <si>
    <t>3 - 4</t>
  </si>
  <si>
    <t>11 - 12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</si>
  <si>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</si>
  <si>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</si>
  <si>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</si>
  <si>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</si>
  <si>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</si>
  <si>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</si>
  <si>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</si>
  <si>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</si>
  <si>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</si>
  <si>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</si>
  <si>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</si>
  <si>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</si>
  <si>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Q dom. (L/s)</t>
  </si>
  <si>
    <t>Qn (L/s)</t>
  </si>
  <si>
    <t>∑</t>
  </si>
  <si>
    <r>
      <t xml:space="preserve"> </t>
    </r>
    <r>
      <rPr>
        <b/>
        <sz val="12"/>
        <color theme="1"/>
        <rFont val="Calibri"/>
        <family val="2"/>
      </rPr>
      <t>∑</t>
    </r>
    <r>
      <rPr>
        <b/>
        <sz val="12"/>
        <color theme="1"/>
        <rFont val="Arial Narrow"/>
        <family val="2"/>
      </rPr>
      <t xml:space="preserve"> Sumatoria:</t>
    </r>
  </si>
  <si>
    <t>HIPÓTESIS DE DISTRIBUCIÓN POR TRAMO</t>
  </si>
  <si>
    <t>HIPÓTESIS DE DISTRIBUCIÓN</t>
  </si>
  <si>
    <t>OBSERVACIONES</t>
  </si>
  <si>
    <t>COTA</t>
  </si>
  <si>
    <t>6 - 7</t>
  </si>
  <si>
    <t>DISEÑO RED DE ACUEDUCTO. MUNICIPIO DE PUERTO GAITÁN, META.  COMUNIDAD KALIAWIRINAE (ETNIA SIKUANI)</t>
  </si>
  <si>
    <t>13</t>
  </si>
  <si>
    <t>4 - 5</t>
  </si>
  <si>
    <t>5 - 6</t>
  </si>
  <si>
    <t>Guía 008 (RAS)</t>
  </si>
  <si>
    <t>Pf = Pac (1+r)^Tf</t>
  </si>
  <si>
    <t>La diferencia entre el año el cual se quiere proyectar la información y el año correspondiente al último año con información</t>
  </si>
  <si>
    <t>Según el DANE la tasa de crecimiento anual para el departamento del Meta es</t>
  </si>
  <si>
    <t>r =</t>
  </si>
  <si>
    <t>%</t>
  </si>
  <si>
    <t>Actualmente la comunidad Kaliawirinae, cuenta con</t>
  </si>
  <si>
    <t>Pa =</t>
  </si>
  <si>
    <t>Hab.</t>
  </si>
  <si>
    <t xml:space="preserve">De acuerdo, con los datos recogidos en el censo a la comunidad, y conforme a la Guía 008 del RAS (Guía metodológica para para la formulación y diseño de sistema de acueductos rurales), se tiene que la población proyectada es de:
</t>
  </si>
  <si>
    <t>Vertical</t>
  </si>
  <si>
    <t>Horizontal</t>
  </si>
  <si>
    <t>Cota:</t>
  </si>
  <si>
    <t>COTAS:</t>
  </si>
  <si>
    <t>204 a 202</t>
  </si>
  <si>
    <t>Inicial</t>
  </si>
  <si>
    <t>198 a 200</t>
  </si>
  <si>
    <t>198 a 196</t>
  </si>
  <si>
    <t>196 a 194</t>
  </si>
  <si>
    <t>8 - 9</t>
  </si>
  <si>
    <t>9 - 10</t>
  </si>
  <si>
    <t>190 a 192</t>
  </si>
  <si>
    <t>196 a 198</t>
  </si>
  <si>
    <t>194 a 192</t>
  </si>
  <si>
    <t>192 a 190</t>
  </si>
  <si>
    <t>192 a 194</t>
  </si>
  <si>
    <t>14</t>
  </si>
  <si>
    <t>15</t>
  </si>
  <si>
    <t>16</t>
  </si>
  <si>
    <t>CÁLCULO DE MALLAS POR EL MÉTODO DE HARDY-CROSS</t>
  </si>
  <si>
    <t>H</t>
  </si>
  <si>
    <t>L</t>
  </si>
  <si>
    <t>J</t>
  </si>
  <si>
    <t>Caudal "Q"</t>
  </si>
  <si>
    <t>Diametro</t>
  </si>
  <si>
    <t>Diametro Comercial</t>
  </si>
  <si>
    <t>Área</t>
  </si>
  <si>
    <t>Velocidad</t>
  </si>
  <si>
    <t>m</t>
  </si>
  <si>
    <t>m/m</t>
  </si>
  <si>
    <t>m3/s</t>
  </si>
  <si>
    <t>"</t>
  </si>
  <si>
    <t>m2</t>
  </si>
  <si>
    <t>m/s</t>
  </si>
  <si>
    <t>mm</t>
  </si>
  <si>
    <t>MALLA 1:</t>
  </si>
  <si>
    <t xml:space="preserve">Caudal "Q" </t>
  </si>
  <si>
    <t>H/Q</t>
  </si>
  <si>
    <r>
      <rPr>
        <sz val="12"/>
        <color theme="1"/>
        <rFont val="Calibri"/>
        <family val="2"/>
      </rPr>
      <t>Δ</t>
    </r>
    <r>
      <rPr>
        <sz val="12"/>
        <color theme="1"/>
        <rFont val="Arial Narrow"/>
        <family val="2"/>
      </rPr>
      <t xml:space="preserve"> Q</t>
    </r>
  </si>
  <si>
    <t>Q - Δ Q</t>
  </si>
  <si>
    <t>RESULTADOS DEFINITIVOS</t>
  </si>
  <si>
    <t>Diámetro</t>
  </si>
  <si>
    <t>Elevación (Nudo Final)</t>
  </si>
  <si>
    <t>Piezometrica (Nudo Final)</t>
  </si>
  <si>
    <t>Presión</t>
  </si>
  <si>
    <t>cm/s</t>
  </si>
  <si>
    <t>Inicial - 1</t>
  </si>
  <si>
    <t>L=</t>
  </si>
  <si>
    <t>Asumiendo presión mínima</t>
  </si>
  <si>
    <t>PVC</t>
  </si>
  <si>
    <t>Pendiente (J):</t>
  </si>
  <si>
    <t>J1 =</t>
  </si>
  <si>
    <t>Diametro (D):</t>
  </si>
  <si>
    <t>D =</t>
  </si>
  <si>
    <t>Al asumir un diametro de 1" (0.0254 m), se debe recalcular J.</t>
  </si>
  <si>
    <t>J2 =</t>
  </si>
  <si>
    <t>De acuerdo a ello, se debe establecer nuevamente la altura alcanzada por la linea piezometrica.</t>
  </si>
  <si>
    <t>H =</t>
  </si>
  <si>
    <t xml:space="preserve">AL cambiar H, de 2 m a 0.01 m, se debe realizar la diferencia de cotas correspondiente. </t>
  </si>
  <si>
    <t>La tuberia comercial (2"), cuenta con 55.7 mm por tanto:</t>
  </si>
  <si>
    <t>MALLA 2:</t>
  </si>
  <si>
    <t>200 a 198</t>
  </si>
  <si>
    <t>194 a 196</t>
  </si>
  <si>
    <t>NODO</t>
  </si>
  <si>
    <t>202 a 200</t>
  </si>
  <si>
    <t>1 - 8</t>
  </si>
  <si>
    <t>10 - 15</t>
  </si>
  <si>
    <t>7 - 15</t>
  </si>
  <si>
    <t>15 - 11</t>
  </si>
  <si>
    <t>12 - 16</t>
  </si>
  <si>
    <t>16 - 13</t>
  </si>
  <si>
    <t>13 - 14</t>
  </si>
  <si>
    <t>16 - 14</t>
  </si>
  <si>
    <t>CAUDAL EN CADA NODO (Qn)</t>
  </si>
  <si>
    <t>Se hace una relación de caudal de 50% - 50%, teniendo en cuenta las zonas a atender. (Tramo 1 - 2; Tramo 1 - 8)</t>
  </si>
  <si>
    <t>Se hace una relación de caudal de 60% - 40%, teniendo en cuenta las zonas a atender. (Tramo 16 - 13; Tramo 16 - 14)</t>
  </si>
  <si>
    <t>La presión aumenta a 7.88 m.c.a.</t>
  </si>
  <si>
    <t>H Total</t>
  </si>
  <si>
    <t>Accesorio</t>
  </si>
  <si>
    <t>Cantidad</t>
  </si>
  <si>
    <t>K</t>
  </si>
  <si>
    <t>Válvula</t>
  </si>
  <si>
    <t>Codo 45º</t>
  </si>
  <si>
    <t>TEE</t>
  </si>
  <si>
    <t>Hl (Accesorios)</t>
  </si>
  <si>
    <t>Codo 90º</t>
  </si>
  <si>
    <t>Ktotal</t>
  </si>
  <si>
    <t>Pérdidas por accesorios:</t>
  </si>
  <si>
    <t>Codo 11.25º</t>
  </si>
  <si>
    <t>CUADRO DE ACCESORIOS</t>
  </si>
  <si>
    <t>MATERIAL</t>
  </si>
  <si>
    <t>CODOS</t>
  </si>
  <si>
    <t>TEES</t>
  </si>
  <si>
    <t>VALVULAS</t>
  </si>
  <si>
    <t>Ø</t>
  </si>
  <si>
    <t>Cant.</t>
  </si>
  <si>
    <t>90 x 2"</t>
  </si>
  <si>
    <t>2" x 2"</t>
  </si>
  <si>
    <t>2"</t>
  </si>
  <si>
    <t>45 x 2"</t>
  </si>
  <si>
    <t>11.25 x 2"</t>
  </si>
  <si>
    <t>CUADRO DE TRAMOS DE ACUEDUCTO</t>
  </si>
  <si>
    <t>Final</t>
  </si>
  <si>
    <t>Subtotales</t>
  </si>
  <si>
    <t>Totales</t>
  </si>
  <si>
    <t>LONG. TRAMO</t>
  </si>
  <si>
    <t>DIAMETRO</t>
  </si>
  <si>
    <t>PVC - RDE 26</t>
  </si>
  <si>
    <t>LONGITUD TUBERIA PVC 2":</t>
  </si>
  <si>
    <t>TABLA DE ACOMETIDAS</t>
  </si>
  <si>
    <t>ACOMETIDA No.</t>
  </si>
  <si>
    <t>No. ACOMETIDA</t>
  </si>
  <si>
    <t>Izquierda</t>
  </si>
  <si>
    <t>Derecha</t>
  </si>
  <si>
    <t>LONGITUD</t>
  </si>
  <si>
    <t>B</t>
  </si>
  <si>
    <t>-</t>
  </si>
  <si>
    <t>Presión Epanet (Sin accesorios) (H-W)</t>
  </si>
  <si>
    <t>Presión Epanet (Sin accesorios) (D-W)</t>
  </si>
  <si>
    <t>Presion Epanet (Con Accesorios) (H - W)</t>
  </si>
  <si>
    <t>Presión Epanet (Con accesorios) (D-W)</t>
  </si>
  <si>
    <t>TAPONES</t>
  </si>
  <si>
    <t>2''</t>
  </si>
  <si>
    <t>Caudal(m3/s)</t>
  </si>
  <si>
    <t>Diametro(m)</t>
  </si>
  <si>
    <t>Velocidad(m/s)</t>
  </si>
  <si>
    <t>Carga de Velocidad(m)</t>
  </si>
  <si>
    <t>Perdidas U (m/m)</t>
  </si>
  <si>
    <t>Long. Succión(m)</t>
  </si>
  <si>
    <t>Perdidas Succion(m)</t>
  </si>
  <si>
    <t>Long. Impulsion(m)</t>
  </si>
  <si>
    <t>Perdidas Impulsion(m)</t>
  </si>
  <si>
    <t>Perdidas Totales</t>
  </si>
  <si>
    <t>Altura Dinámica Total</t>
  </si>
  <si>
    <t>Bomba</t>
  </si>
  <si>
    <t>Sistema</t>
  </si>
  <si>
    <t>Q(l/s)</t>
  </si>
  <si>
    <t>HD(m)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</si>
</sst>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"/>
    <numFmt numFmtId="165" formatCode="0.0000"/>
    <numFmt numFmtId="166" formatCode="0.0"/>
    <numFmt numFmtId="167" formatCode="0.00000"/>
    <numFmt numFmtId="168" formatCode="0.000000"/>
    <numFmt numFmtId="169" formatCode="0.0000000"/>
    <numFmt numFmtId="170" formatCode="0.00000000"/>
    <numFmt numFmtId="171" formatCode="0.00000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i/>
      <sz val="12"/>
      <color theme="1"/>
      <name val="Arial Narrow"/>
      <family val="2"/>
    </font>
    <font>
      <b/>
      <sz val="14"/>
      <color theme="1"/>
      <name val="Arial Narrow"/>
      <family val="2"/>
    </font>
    <font>
      <u val="double"/>
      <sz val="12"/>
      <color theme="1"/>
      <name val="Arial Narrow"/>
      <family val="2"/>
    </font>
    <font>
      <b/>
      <sz val="16"/>
      <color theme="1"/>
      <name val="Arial Narrow"/>
      <family val="2"/>
    </font>
    <font>
      <b/>
      <sz val="12"/>
      <color theme="1"/>
      <name val="Calibri"/>
      <family val="2"/>
    </font>
    <font>
      <sz val="11"/>
      <color rgb="FF000000"/>
      <name val="Calibri"/>
      <family val="2"/>
      <scheme val="minor"/>
    </font>
    <font>
      <sz val="12"/>
      <name val="Arial Narrow"/>
      <family val="2"/>
    </font>
    <font>
      <b/>
      <sz val="12"/>
      <name val="Arial Narrow"/>
      <family val="2"/>
    </font>
    <font>
      <b/>
      <sz val="20"/>
      <color theme="1"/>
      <name val="Calibri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sz val="12"/>
      <color theme="8"/>
      <name val="Arial Narrow"/>
      <family val="2"/>
    </font>
    <font>
      <sz val="12"/>
      <color rgb="FFFF0000"/>
      <name val="Arial Narrow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DashDot">
        <color theme="9" tint="-0.24994659260841701"/>
      </left>
      <right/>
      <top style="mediumDashDot">
        <color theme="9" tint="-0.24994659260841701"/>
      </top>
      <bottom/>
      <diagonal/>
    </border>
    <border>
      <left/>
      <right/>
      <top style="mediumDashDot">
        <color theme="9" tint="-0.24994659260841701"/>
      </top>
      <bottom/>
      <diagonal/>
    </border>
    <border>
      <left/>
      <right style="mediumDashDot">
        <color theme="9" tint="-0.24994659260841701"/>
      </right>
      <top style="mediumDashDot">
        <color theme="9" tint="-0.24994659260841701"/>
      </top>
      <bottom/>
      <diagonal/>
    </border>
    <border>
      <left style="mediumDashDot">
        <color theme="9" tint="-0.24994659260841701"/>
      </left>
      <right/>
      <top/>
      <bottom/>
      <diagonal/>
    </border>
    <border>
      <left/>
      <right style="mediumDashDot">
        <color theme="9" tint="-0.24994659260841701"/>
      </right>
      <top/>
      <bottom/>
      <diagonal/>
    </border>
    <border>
      <left style="mediumDashDot">
        <color theme="9" tint="-0.24994659260841701"/>
      </left>
      <right/>
      <top/>
      <bottom style="mediumDashDot">
        <color theme="9" tint="-0.24994659260841701"/>
      </bottom>
      <diagonal/>
    </border>
    <border>
      <left/>
      <right/>
      <top/>
      <bottom style="mediumDashDot">
        <color theme="9" tint="-0.24994659260841701"/>
      </bottom>
      <diagonal/>
    </border>
    <border>
      <left/>
      <right style="mediumDashDot">
        <color theme="9" tint="-0.24994659260841701"/>
      </right>
      <top/>
      <bottom style="mediumDashDot">
        <color theme="9" tint="-0.24994659260841701"/>
      </bottom>
      <diagonal/>
    </border>
    <border>
      <left style="mediumDashed">
        <color rgb="FF00B050"/>
      </left>
      <right/>
      <top style="mediumDashed">
        <color rgb="FF00B050"/>
      </top>
      <bottom style="mediumDashed">
        <color rgb="FF00B050"/>
      </bottom>
      <diagonal/>
    </border>
    <border>
      <left/>
      <right/>
      <top style="mediumDashed">
        <color rgb="FF00B050"/>
      </top>
      <bottom style="mediumDashed">
        <color rgb="FF00B050"/>
      </bottom>
      <diagonal/>
    </border>
    <border>
      <left/>
      <right style="mediumDashed">
        <color rgb="FF00B050"/>
      </right>
      <top style="mediumDashed">
        <color rgb="FF00B050"/>
      </top>
      <bottom style="mediumDashed">
        <color rgb="FF00B05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36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1" fillId="2" borderId="0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0" fillId="3" borderId="0" xfId="0" applyFill="1"/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1" fillId="3" borderId="0" xfId="0" applyFont="1" applyFill="1"/>
    <xf numFmtId="0" fontId="4" fillId="2" borderId="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3" fillId="2" borderId="10" xfId="0" applyFont="1" applyFill="1" applyBorder="1"/>
    <xf numFmtId="0" fontId="3" fillId="2" borderId="0" xfId="0" applyFont="1" applyFill="1" applyBorder="1"/>
    <xf numFmtId="0" fontId="3" fillId="2" borderId="12" xfId="0" applyFont="1" applyFill="1" applyBorder="1"/>
    <xf numFmtId="0" fontId="3" fillId="2" borderId="1" xfId="0" applyFont="1" applyFill="1" applyBorder="1"/>
    <xf numFmtId="0" fontId="6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/>
    </xf>
    <xf numFmtId="164" fontId="3" fillId="2" borderId="0" xfId="0" applyNumberFormat="1" applyFont="1" applyFill="1" applyBorder="1" applyAlignment="1">
      <alignment horizontal="center" vertical="center" wrapText="1"/>
    </xf>
    <xf numFmtId="165" fontId="3" fillId="2" borderId="0" xfId="0" applyNumberFormat="1" applyFont="1" applyFill="1" applyBorder="1" applyAlignment="1">
      <alignment horizontal="center" vertical="center" wrapText="1"/>
    </xf>
    <xf numFmtId="1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/>
    <xf numFmtId="0" fontId="8" fillId="2" borderId="0" xfId="0" applyFont="1" applyFill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/>
    </xf>
    <xf numFmtId="0" fontId="3" fillId="2" borderId="23" xfId="0" applyFont="1" applyFill="1" applyBorder="1" applyAlignment="1">
      <alignment horizontal="left" vertical="center" wrapText="1"/>
    </xf>
    <xf numFmtId="0" fontId="3" fillId="2" borderId="2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4" xfId="0" applyFont="1" applyFill="1" applyBorder="1" applyAlignment="1">
      <alignment horizontal="right" vertical="center" wrapText="1"/>
    </xf>
    <xf numFmtId="0" fontId="3" fillId="2" borderId="21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right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164" fontId="3" fillId="2" borderId="28" xfId="0" applyNumberFormat="1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2" fontId="3" fillId="2" borderId="28" xfId="0" applyNumberFormat="1" applyFont="1" applyFill="1" applyBorder="1" applyAlignment="1">
      <alignment horizontal="center" vertical="center" wrapText="1"/>
    </xf>
    <xf numFmtId="2" fontId="3" fillId="2" borderId="35" xfId="0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164" fontId="3" fillId="2" borderId="26" xfId="0" applyNumberFormat="1" applyFont="1" applyFill="1" applyBorder="1" applyAlignment="1">
      <alignment horizontal="center" vertical="center" wrapText="1"/>
    </xf>
    <xf numFmtId="2" fontId="4" fillId="2" borderId="31" xfId="0" applyNumberFormat="1" applyFont="1" applyFill="1" applyBorder="1" applyAlignment="1">
      <alignment horizontal="center" vertical="center" wrapText="1"/>
    </xf>
    <xf numFmtId="49" fontId="3" fillId="5" borderId="26" xfId="0" applyNumberFormat="1" applyFont="1" applyFill="1" applyBorder="1" applyAlignment="1">
      <alignment horizontal="center" vertical="center" wrapText="1"/>
    </xf>
    <xf numFmtId="164" fontId="3" fillId="5" borderId="26" xfId="0" applyNumberFormat="1" applyFont="1" applyFill="1" applyBorder="1" applyAlignment="1">
      <alignment horizontal="center" vertical="center" wrapText="1"/>
    </xf>
    <xf numFmtId="164" fontId="3" fillId="5" borderId="26" xfId="0" applyNumberFormat="1" applyFont="1" applyFill="1" applyBorder="1" applyAlignment="1">
      <alignment horizontal="left" vertical="center" wrapText="1" indent="1"/>
    </xf>
    <xf numFmtId="2" fontId="4" fillId="5" borderId="31" xfId="0" applyNumberFormat="1" applyFont="1" applyFill="1" applyBorder="1" applyAlignment="1">
      <alignment horizontal="center" vertical="center" wrapText="1"/>
    </xf>
    <xf numFmtId="164" fontId="3" fillId="5" borderId="26" xfId="0" applyNumberFormat="1" applyFont="1" applyFill="1" applyBorder="1" applyAlignment="1">
      <alignment horizontal="left" vertical="center" wrapText="1"/>
    </xf>
    <xf numFmtId="49" fontId="11" fillId="2" borderId="26" xfId="0" applyNumberFormat="1" applyFont="1" applyFill="1" applyBorder="1" applyAlignment="1">
      <alignment horizontal="center" vertical="center" wrapText="1"/>
    </xf>
    <xf numFmtId="164" fontId="11" fillId="2" borderId="26" xfId="0" applyNumberFormat="1" applyFont="1" applyFill="1" applyBorder="1" applyAlignment="1">
      <alignment horizontal="center" vertical="center" wrapText="1"/>
    </xf>
    <xf numFmtId="2" fontId="12" fillId="2" borderId="31" xfId="0" applyNumberFormat="1" applyFont="1" applyFill="1" applyBorder="1" applyAlignment="1">
      <alignment horizontal="center" vertical="center" wrapText="1"/>
    </xf>
    <xf numFmtId="49" fontId="11" fillId="5" borderId="26" xfId="0" applyNumberFormat="1" applyFont="1" applyFill="1" applyBorder="1" applyAlignment="1">
      <alignment horizontal="center" vertical="center" wrapText="1"/>
    </xf>
    <xf numFmtId="164" fontId="11" fillId="5" borderId="26" xfId="0" applyNumberFormat="1" applyFont="1" applyFill="1" applyBorder="1" applyAlignment="1">
      <alignment horizontal="center" vertical="center" wrapText="1"/>
    </xf>
    <xf numFmtId="2" fontId="12" fillId="5" borderId="31" xfId="0" applyNumberFormat="1" applyFont="1" applyFill="1" applyBorder="1" applyAlignment="1">
      <alignment horizontal="center" vertical="center" wrapText="1"/>
    </xf>
    <xf numFmtId="0" fontId="3" fillId="6" borderId="39" xfId="0" applyFont="1" applyFill="1" applyBorder="1" applyAlignment="1">
      <alignment horizontal="center" vertical="center" wrapText="1"/>
    </xf>
    <xf numFmtId="0" fontId="3" fillId="6" borderId="40" xfId="0" applyFont="1" applyFill="1" applyBorder="1" applyAlignment="1">
      <alignment horizontal="center" vertical="center" wrapText="1"/>
    </xf>
    <xf numFmtId="0" fontId="3" fillId="6" borderId="41" xfId="0" applyFont="1" applyFill="1" applyBorder="1" applyAlignment="1">
      <alignment horizontal="center" vertical="center" wrapText="1"/>
    </xf>
    <xf numFmtId="164" fontId="3" fillId="2" borderId="26" xfId="0" applyNumberFormat="1" applyFont="1" applyFill="1" applyBorder="1" applyAlignment="1">
      <alignment horizontal="left" vertical="center" wrapText="1"/>
    </xf>
    <xf numFmtId="164" fontId="11" fillId="2" borderId="26" xfId="0" applyNumberFormat="1" applyFont="1" applyFill="1" applyBorder="1" applyAlignment="1">
      <alignment vertical="center" wrapText="1"/>
    </xf>
    <xf numFmtId="164" fontId="11" fillId="5" borderId="26" xfId="0" applyNumberFormat="1" applyFont="1" applyFill="1" applyBorder="1" applyAlignment="1">
      <alignment vertical="center" wrapText="1"/>
    </xf>
    <xf numFmtId="49" fontId="3" fillId="2" borderId="28" xfId="0" applyNumberFormat="1" applyFont="1" applyFill="1" applyBorder="1" applyAlignment="1">
      <alignment horizontal="center" vertical="center" wrapText="1"/>
    </xf>
    <xf numFmtId="164" fontId="3" fillId="2" borderId="28" xfId="0" applyNumberFormat="1" applyFont="1" applyFill="1" applyBorder="1" applyAlignment="1">
      <alignment horizontal="left" vertical="center" wrapText="1"/>
    </xf>
    <xf numFmtId="2" fontId="4" fillId="2" borderId="29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vertical="center" wrapText="1"/>
    </xf>
    <xf numFmtId="0" fontId="10" fillId="5" borderId="26" xfId="0" applyFont="1" applyFill="1" applyBorder="1"/>
    <xf numFmtId="2" fontId="3" fillId="2" borderId="4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164" fontId="3" fillId="2" borderId="47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2" fontId="3" fillId="2" borderId="44" xfId="0" applyNumberFormat="1" applyFont="1" applyFill="1" applyBorder="1" applyAlignment="1">
      <alignment horizontal="center" vertical="center" wrapText="1"/>
    </xf>
    <xf numFmtId="1" fontId="6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/>
    </xf>
    <xf numFmtId="0" fontId="3" fillId="3" borderId="0" xfId="0" applyFont="1" applyFill="1" applyBorder="1"/>
    <xf numFmtId="0" fontId="7" fillId="3" borderId="0" xfId="0" applyFont="1" applyFill="1" applyBorder="1"/>
    <xf numFmtId="165" fontId="3" fillId="3" borderId="0" xfId="0" applyNumberFormat="1" applyFont="1" applyFill="1" applyBorder="1" applyAlignment="1">
      <alignment horizontal="center" vertical="center" wrapText="1"/>
    </xf>
    <xf numFmtId="164" fontId="3" fillId="3" borderId="0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1" fontId="4" fillId="3" borderId="0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5" fontId="3" fillId="2" borderId="33" xfId="0" applyNumberFormat="1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164" fontId="4" fillId="2" borderId="47" xfId="0" applyNumberFormat="1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left" vertical="center" wrapText="1"/>
    </xf>
    <xf numFmtId="2" fontId="3" fillId="2" borderId="49" xfId="0" applyNumberFormat="1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2" fontId="3" fillId="2" borderId="46" xfId="0" applyNumberFormat="1" applyFont="1" applyFill="1" applyBorder="1" applyAlignment="1">
      <alignment horizontal="center" vertical="center" wrapText="1"/>
    </xf>
    <xf numFmtId="2" fontId="3" fillId="2" borderId="47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6" borderId="37" xfId="0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7" borderId="37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2" fontId="3" fillId="2" borderId="8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2" fontId="4" fillId="2" borderId="46" xfId="0" applyNumberFormat="1" applyFont="1" applyFill="1" applyBorder="1" applyAlignment="1">
      <alignment horizontal="center" vertical="center" wrapText="1"/>
    </xf>
    <xf numFmtId="165" fontId="3" fillId="2" borderId="46" xfId="0" applyNumberFormat="1" applyFont="1" applyFill="1" applyBorder="1" applyAlignment="1">
      <alignment horizontal="center" vertical="center" wrapText="1"/>
    </xf>
    <xf numFmtId="49" fontId="3" fillId="2" borderId="36" xfId="0" applyNumberFormat="1" applyFont="1" applyFill="1" applyBorder="1" applyAlignment="1">
      <alignment horizontal="center" vertical="center" wrapText="1"/>
    </xf>
    <xf numFmtId="2" fontId="3" fillId="2" borderId="51" xfId="0" applyNumberFormat="1" applyFont="1" applyFill="1" applyBorder="1" applyAlignment="1">
      <alignment horizontal="center" vertical="center" wrapText="1"/>
    </xf>
    <xf numFmtId="164" fontId="3" fillId="2" borderId="51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36" xfId="0" applyFont="1" applyFill="1" applyBorder="1" applyAlignment="1">
      <alignment horizontal="center" vertical="center" wrapText="1"/>
    </xf>
    <xf numFmtId="0" fontId="3" fillId="6" borderId="43" xfId="0" applyFont="1" applyFill="1" applyBorder="1" applyAlignment="1">
      <alignment horizontal="center" vertical="center" wrapText="1"/>
    </xf>
    <xf numFmtId="0" fontId="3" fillId="6" borderId="42" xfId="0" applyFont="1" applyFill="1" applyBorder="1" applyAlignment="1">
      <alignment horizontal="center" vertical="center" wrapText="1"/>
    </xf>
    <xf numFmtId="49" fontId="3" fillId="2" borderId="54" xfId="0" applyNumberFormat="1" applyFont="1" applyFill="1" applyBorder="1" applyAlignment="1">
      <alignment horizontal="center" vertical="center" wrapText="1"/>
    </xf>
    <xf numFmtId="2" fontId="3" fillId="2" borderId="27" xfId="0" applyNumberFormat="1" applyFont="1" applyFill="1" applyBorder="1" applyAlignment="1">
      <alignment horizontal="center" vertical="center" wrapText="1"/>
    </xf>
    <xf numFmtId="1" fontId="3" fillId="2" borderId="28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2" fontId="3" fillId="5" borderId="5" xfId="0" applyNumberFormat="1" applyFont="1" applyFill="1" applyBorder="1" applyAlignment="1">
      <alignment horizontal="center" vertical="center" wrapText="1"/>
    </xf>
    <xf numFmtId="1" fontId="3" fillId="2" borderId="26" xfId="0" applyNumberFormat="1" applyFont="1" applyFill="1" applyBorder="1" applyAlignment="1">
      <alignment horizontal="center" vertical="center" wrapText="1"/>
    </xf>
    <xf numFmtId="2" fontId="3" fillId="2" borderId="30" xfId="0" applyNumberFormat="1" applyFont="1" applyFill="1" applyBorder="1" applyAlignment="1">
      <alignment horizontal="center" vertical="center" wrapText="1"/>
    </xf>
    <xf numFmtId="1" fontId="3" fillId="2" borderId="33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2" fontId="3" fillId="2" borderId="54" xfId="0" applyNumberFormat="1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165" fontId="3" fillId="2" borderId="29" xfId="0" applyNumberFormat="1" applyFont="1" applyFill="1" applyBorder="1" applyAlignment="1">
      <alignment horizontal="center" vertical="center" wrapText="1"/>
    </xf>
    <xf numFmtId="165" fontId="3" fillId="2" borderId="31" xfId="0" applyNumberFormat="1" applyFont="1" applyFill="1" applyBorder="1" applyAlignment="1">
      <alignment horizontal="center" vertical="center" wrapText="1"/>
    </xf>
    <xf numFmtId="2" fontId="3" fillId="2" borderId="32" xfId="0" applyNumberFormat="1" applyFont="1" applyFill="1" applyBorder="1" applyAlignment="1">
      <alignment horizontal="center" vertical="center" wrapText="1"/>
    </xf>
    <xf numFmtId="165" fontId="3" fillId="2" borderId="34" xfId="0" applyNumberFormat="1" applyFont="1" applyFill="1" applyBorder="1" applyAlignment="1">
      <alignment horizontal="center" vertical="center" wrapText="1"/>
    </xf>
    <xf numFmtId="1" fontId="3" fillId="2" borderId="61" xfId="0" applyNumberFormat="1" applyFont="1" applyFill="1" applyBorder="1" applyAlignment="1">
      <alignment horizontal="center" vertical="center" wrapText="1"/>
    </xf>
    <xf numFmtId="164" fontId="3" fillId="2" borderId="62" xfId="0" applyNumberFormat="1" applyFont="1" applyFill="1" applyBorder="1" applyAlignment="1">
      <alignment horizontal="center" vertical="center" wrapText="1"/>
    </xf>
    <xf numFmtId="166" fontId="3" fillId="2" borderId="12" xfId="0" applyNumberFormat="1" applyFont="1" applyFill="1" applyBorder="1" applyAlignment="1">
      <alignment horizontal="center" vertical="center" wrapText="1"/>
    </xf>
    <xf numFmtId="2" fontId="3" fillId="2" borderId="63" xfId="0" applyNumberFormat="1" applyFont="1" applyFill="1" applyBorder="1" applyAlignment="1">
      <alignment horizontal="center" vertical="center" wrapText="1"/>
    </xf>
    <xf numFmtId="2" fontId="3" fillId="2" borderId="53" xfId="0" applyNumberFormat="1" applyFont="1" applyFill="1" applyBorder="1" applyAlignment="1">
      <alignment horizontal="center" vertical="center" wrapText="1"/>
    </xf>
    <xf numFmtId="1" fontId="3" fillId="2" borderId="64" xfId="0" applyNumberFormat="1" applyFont="1" applyFill="1" applyBorder="1" applyAlignment="1">
      <alignment horizontal="center" vertical="center" wrapText="1"/>
    </xf>
    <xf numFmtId="166" fontId="3" fillId="2" borderId="65" xfId="0" applyNumberFormat="1" applyFont="1" applyFill="1" applyBorder="1" applyAlignment="1">
      <alignment horizontal="center" vertical="center" wrapText="1"/>
    </xf>
    <xf numFmtId="164" fontId="3" fillId="2" borderId="52" xfId="0" applyNumberFormat="1" applyFont="1" applyFill="1" applyBorder="1" applyAlignment="1">
      <alignment horizontal="center" vertical="center" wrapText="1"/>
    </xf>
    <xf numFmtId="164" fontId="3" fillId="2" borderId="54" xfId="0" applyNumberFormat="1" applyFont="1" applyFill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0" fontId="3" fillId="6" borderId="66" xfId="0" applyFont="1" applyFill="1" applyBorder="1" applyAlignment="1">
      <alignment horizontal="center" vertical="center" wrapText="1"/>
    </xf>
    <xf numFmtId="164" fontId="3" fillId="2" borderId="55" xfId="0" applyNumberFormat="1" applyFont="1" applyFill="1" applyBorder="1" applyAlignment="1">
      <alignment horizontal="center" vertical="center" wrapText="1"/>
    </xf>
    <xf numFmtId="167" fontId="3" fillId="2" borderId="54" xfId="0" applyNumberFormat="1" applyFont="1" applyFill="1" applyBorder="1" applyAlignment="1">
      <alignment horizontal="center" vertical="center" wrapText="1"/>
    </xf>
    <xf numFmtId="168" fontId="3" fillId="5" borderId="4" xfId="0" applyNumberFormat="1" applyFont="1" applyFill="1" applyBorder="1" applyAlignment="1">
      <alignment horizontal="center" vertical="center" wrapText="1"/>
    </xf>
    <xf numFmtId="164" fontId="3" fillId="2" borderId="56" xfId="0" applyNumberFormat="1" applyFont="1" applyFill="1" applyBorder="1" applyAlignment="1">
      <alignment horizontal="center" vertical="center" wrapText="1"/>
    </xf>
    <xf numFmtId="167" fontId="3" fillId="2" borderId="2" xfId="0" applyNumberFormat="1" applyFont="1" applyFill="1" applyBorder="1" applyAlignment="1">
      <alignment horizontal="center" vertical="center" wrapText="1"/>
    </xf>
    <xf numFmtId="167" fontId="3" fillId="2" borderId="5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164" fontId="3" fillId="2" borderId="57" xfId="0" applyNumberFormat="1" applyFont="1" applyFill="1" applyBorder="1" applyAlignment="1">
      <alignment horizontal="center" vertical="center" wrapText="1"/>
    </xf>
    <xf numFmtId="167" fontId="3" fillId="2" borderId="3" xfId="0" applyNumberFormat="1" applyFont="1" applyFill="1" applyBorder="1" applyAlignment="1">
      <alignment horizontal="center" vertical="center" wrapText="1"/>
    </xf>
    <xf numFmtId="167" fontId="3" fillId="2" borderId="6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164" fontId="15" fillId="2" borderId="0" xfId="0" applyNumberFormat="1" applyFont="1" applyFill="1" applyBorder="1" applyAlignment="1">
      <alignment horizontal="right" vertical="center" wrapText="1" indent="1"/>
    </xf>
    <xf numFmtId="167" fontId="3" fillId="2" borderId="4" xfId="0" applyNumberFormat="1" applyFont="1" applyFill="1" applyBorder="1" applyAlignment="1">
      <alignment horizontal="center" vertical="center" wrapText="1"/>
    </xf>
    <xf numFmtId="167" fontId="3" fillId="2" borderId="44" xfId="0" applyNumberFormat="1" applyFont="1" applyFill="1" applyBorder="1" applyAlignment="1">
      <alignment horizontal="center" vertical="center" wrapText="1"/>
    </xf>
    <xf numFmtId="168" fontId="3" fillId="5" borderId="54" xfId="0" applyNumberFormat="1" applyFont="1" applyFill="1" applyBorder="1" applyAlignment="1">
      <alignment horizontal="center" vertical="center" wrapText="1"/>
    </xf>
    <xf numFmtId="167" fontId="3" fillId="2" borderId="35" xfId="0" applyNumberFormat="1" applyFont="1" applyFill="1" applyBorder="1" applyAlignment="1">
      <alignment horizontal="center" vertical="center" wrapText="1"/>
    </xf>
    <xf numFmtId="167" fontId="3" fillId="2" borderId="60" xfId="0" applyNumberFormat="1" applyFont="1" applyFill="1" applyBorder="1" applyAlignment="1">
      <alignment horizontal="center" vertical="center" wrapText="1"/>
    </xf>
    <xf numFmtId="168" fontId="3" fillId="8" borderId="54" xfId="0" applyNumberFormat="1" applyFont="1" applyFill="1" applyBorder="1" applyAlignment="1">
      <alignment horizontal="center" vertical="center" wrapText="1"/>
    </xf>
    <xf numFmtId="49" fontId="3" fillId="2" borderId="66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64" fontId="3" fillId="5" borderId="38" xfId="0" applyNumberFormat="1" applyFont="1" applyFill="1" applyBorder="1" applyAlignment="1">
      <alignment horizontal="center" vertical="center" wrapText="1"/>
    </xf>
    <xf numFmtId="0" fontId="3" fillId="6" borderId="54" xfId="0" applyFont="1" applyFill="1" applyBorder="1" applyAlignment="1">
      <alignment horizontal="center" vertical="center" wrapText="1"/>
    </xf>
    <xf numFmtId="165" fontId="3" fillId="2" borderId="30" xfId="0" applyNumberFormat="1" applyFont="1" applyFill="1" applyBorder="1" applyAlignment="1">
      <alignment horizontal="center" vertical="center" wrapText="1"/>
    </xf>
    <xf numFmtId="2" fontId="3" fillId="2" borderId="31" xfId="0" applyNumberFormat="1" applyFont="1" applyFill="1" applyBorder="1" applyAlignment="1">
      <alignment horizontal="center" vertical="center" wrapText="1"/>
    </xf>
    <xf numFmtId="11" fontId="3" fillId="2" borderId="30" xfId="0" applyNumberFormat="1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11" fontId="3" fillId="2" borderId="5" xfId="0" applyNumberFormat="1" applyFont="1" applyFill="1" applyBorder="1" applyAlignment="1">
      <alignment horizontal="center" vertical="center" wrapText="1"/>
    </xf>
    <xf numFmtId="166" fontId="3" fillId="2" borderId="5" xfId="0" applyNumberFormat="1" applyFont="1" applyFill="1" applyBorder="1" applyAlignment="1">
      <alignment horizontal="center" vertical="center" wrapText="1"/>
    </xf>
    <xf numFmtId="2" fontId="3" fillId="5" borderId="2" xfId="0" applyNumberFormat="1" applyFont="1" applyFill="1" applyBorder="1" applyAlignment="1">
      <alignment horizontal="center" vertical="center" wrapText="1"/>
    </xf>
    <xf numFmtId="165" fontId="3" fillId="5" borderId="31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1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3" fillId="2" borderId="67" xfId="0" applyFont="1" applyFill="1" applyBorder="1" applyAlignment="1">
      <alignment horizontal="left" vertical="center" wrapText="1"/>
    </xf>
    <xf numFmtId="0" fontId="16" fillId="2" borderId="68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right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4" fillId="2" borderId="69" xfId="0" applyFont="1" applyFill="1" applyBorder="1" applyAlignment="1">
      <alignment vertical="center" wrapText="1"/>
    </xf>
    <xf numFmtId="2" fontId="4" fillId="2" borderId="26" xfId="0" applyNumberFormat="1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4" fillId="2" borderId="26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4" fillId="5" borderId="0" xfId="0" applyFont="1" applyFill="1" applyAlignment="1">
      <alignment horizontal="left" vertical="center" wrapText="1"/>
    </xf>
    <xf numFmtId="164" fontId="3" fillId="5" borderId="0" xfId="0" applyNumberFormat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165" fontId="4" fillId="2" borderId="0" xfId="0" applyNumberFormat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right" vertical="center" wrapText="1"/>
    </xf>
    <xf numFmtId="164" fontId="3" fillId="2" borderId="0" xfId="0" applyNumberFormat="1" applyFont="1" applyFill="1" applyBorder="1" applyAlignment="1">
      <alignment vertical="center" wrapText="1"/>
    </xf>
    <xf numFmtId="2" fontId="3" fillId="2" borderId="0" xfId="0" applyNumberFormat="1" applyFont="1" applyFill="1" applyBorder="1" applyAlignment="1">
      <alignment vertical="center" wrapText="1"/>
    </xf>
    <xf numFmtId="2" fontId="4" fillId="5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right" vertical="center" wrapText="1"/>
    </xf>
    <xf numFmtId="164" fontId="4" fillId="5" borderId="0" xfId="0" applyNumberFormat="1" applyFont="1" applyFill="1" applyBorder="1" applyAlignment="1">
      <alignment horizontal="left" vertical="center" wrapText="1"/>
    </xf>
    <xf numFmtId="2" fontId="4" fillId="5" borderId="0" xfId="0" applyNumberFormat="1" applyFont="1" applyFill="1" applyBorder="1" applyAlignment="1">
      <alignment horizontal="left" vertical="center" wrapText="1"/>
    </xf>
    <xf numFmtId="164" fontId="4" fillId="2" borderId="0" xfId="0" applyNumberFormat="1" applyFont="1" applyFill="1" applyBorder="1" applyAlignment="1">
      <alignment horizontal="left" vertical="center" wrapText="1"/>
    </xf>
    <xf numFmtId="2" fontId="3" fillId="2" borderId="0" xfId="0" applyNumberFormat="1" applyFont="1" applyFill="1" applyBorder="1" applyAlignment="1">
      <alignment vertical="center"/>
    </xf>
    <xf numFmtId="2" fontId="3" fillId="2" borderId="0" xfId="0" applyNumberFormat="1" applyFont="1" applyFill="1" applyAlignment="1">
      <alignment horizontal="left" vertical="center" wrapText="1"/>
    </xf>
    <xf numFmtId="2" fontId="3" fillId="2" borderId="34" xfId="0" applyNumberFormat="1" applyFont="1" applyFill="1" applyBorder="1" applyAlignment="1">
      <alignment horizontal="center" vertical="center" wrapText="1"/>
    </xf>
    <xf numFmtId="2" fontId="3" fillId="2" borderId="81" xfId="0" applyNumberFormat="1" applyFont="1" applyFill="1" applyBorder="1" applyAlignment="1">
      <alignment horizontal="center" vertical="center" wrapText="1"/>
    </xf>
    <xf numFmtId="2" fontId="3" fillId="2" borderId="69" xfId="0" applyNumberFormat="1" applyFont="1" applyFill="1" applyBorder="1" applyAlignment="1">
      <alignment horizontal="center" vertical="center" wrapText="1"/>
    </xf>
    <xf numFmtId="164" fontId="3" fillId="2" borderId="29" xfId="0" applyNumberFormat="1" applyFont="1" applyFill="1" applyBorder="1" applyAlignment="1">
      <alignment horizontal="center" vertical="center" wrapText="1"/>
    </xf>
    <xf numFmtId="164" fontId="3" fillId="2" borderId="31" xfId="0" applyNumberFormat="1" applyFont="1" applyFill="1" applyBorder="1" applyAlignment="1">
      <alignment horizontal="center" vertical="center" wrapText="1"/>
    </xf>
    <xf numFmtId="164" fontId="3" fillId="2" borderId="34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6" borderId="5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6" borderId="54" xfId="0" applyFont="1" applyFill="1" applyBorder="1" applyAlignment="1">
      <alignment horizontal="center" vertical="center" wrapText="1"/>
    </xf>
    <xf numFmtId="2" fontId="3" fillId="2" borderId="36" xfId="0" applyNumberFormat="1" applyFont="1" applyFill="1" applyBorder="1" applyAlignment="1">
      <alignment horizontal="center" vertical="center" wrapText="1"/>
    </xf>
    <xf numFmtId="164" fontId="4" fillId="2" borderId="36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164" fontId="3" fillId="2" borderId="33" xfId="0" applyNumberFormat="1" applyFont="1" applyFill="1" applyBorder="1" applyAlignment="1">
      <alignment horizontal="center" vertical="center" wrapText="1"/>
    </xf>
    <xf numFmtId="2" fontId="4" fillId="2" borderId="34" xfId="0" applyNumberFormat="1" applyFont="1" applyFill="1" applyBorder="1" applyAlignment="1">
      <alignment horizontal="center" vertical="center" wrapText="1"/>
    </xf>
    <xf numFmtId="164" fontId="3" fillId="2" borderId="33" xfId="0" applyNumberFormat="1" applyFont="1" applyFill="1" applyBorder="1" applyAlignment="1">
      <alignment horizontal="left" vertical="center" wrapText="1"/>
    </xf>
    <xf numFmtId="49" fontId="3" fillId="5" borderId="5" xfId="0" applyNumberFormat="1" applyFont="1" applyFill="1" applyBorder="1" applyAlignment="1">
      <alignment horizontal="center" vertical="center" wrapText="1"/>
    </xf>
    <xf numFmtId="164" fontId="3" fillId="5" borderId="5" xfId="0" applyNumberFormat="1" applyFont="1" applyFill="1" applyBorder="1" applyAlignment="1">
      <alignment horizontal="center" vertical="center" wrapText="1"/>
    </xf>
    <xf numFmtId="2" fontId="3" fillId="5" borderId="63" xfId="0" applyNumberFormat="1" applyFont="1" applyFill="1" applyBorder="1" applyAlignment="1">
      <alignment horizontal="center" vertical="center" wrapText="1"/>
    </xf>
    <xf numFmtId="1" fontId="3" fillId="5" borderId="61" xfId="0" applyNumberFormat="1" applyFont="1" applyFill="1" applyBorder="1" applyAlignment="1">
      <alignment horizontal="center" vertical="center" wrapText="1"/>
    </xf>
    <xf numFmtId="166" fontId="3" fillId="5" borderId="12" xfId="0" applyNumberFormat="1" applyFont="1" applyFill="1" applyBorder="1" applyAlignment="1">
      <alignment horizontal="center" vertical="center" wrapText="1"/>
    </xf>
    <xf numFmtId="164" fontId="3" fillId="5" borderId="62" xfId="0" applyNumberFormat="1" applyFont="1" applyFill="1" applyBorder="1" applyAlignment="1">
      <alignment horizontal="center" vertical="center" wrapText="1"/>
    </xf>
    <xf numFmtId="164" fontId="3" fillId="5" borderId="2" xfId="0" applyNumberFormat="1" applyFont="1" applyFill="1" applyBorder="1" applyAlignment="1">
      <alignment horizontal="center" vertical="center" wrapText="1"/>
    </xf>
    <xf numFmtId="2" fontId="11" fillId="2" borderId="2" xfId="0" applyNumberFormat="1" applyFont="1" applyFill="1" applyBorder="1" applyAlignment="1">
      <alignment horizontal="center" vertical="center" wrapText="1"/>
    </xf>
    <xf numFmtId="2" fontId="11" fillId="5" borderId="2" xfId="0" applyNumberFormat="1" applyFont="1" applyFill="1" applyBorder="1" applyAlignment="1">
      <alignment horizontal="center" vertical="center" wrapText="1"/>
    </xf>
    <xf numFmtId="166" fontId="3" fillId="2" borderId="55" xfId="0" applyNumberFormat="1" applyFont="1" applyFill="1" applyBorder="1" applyAlignment="1">
      <alignment horizontal="center" vertical="center" wrapText="1"/>
    </xf>
    <xf numFmtId="2" fontId="3" fillId="2" borderId="9" xfId="0" applyNumberFormat="1" applyFont="1" applyFill="1" applyBorder="1" applyAlignment="1">
      <alignment horizontal="center" vertical="center" wrapText="1"/>
    </xf>
    <xf numFmtId="1" fontId="3" fillId="2" borderId="42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7" fontId="3" fillId="2" borderId="66" xfId="0" applyNumberFormat="1" applyFont="1" applyFill="1" applyBorder="1" applyAlignment="1">
      <alignment horizontal="center" vertical="center" wrapText="1"/>
    </xf>
    <xf numFmtId="167" fontId="3" fillId="2" borderId="36" xfId="0" applyNumberFormat="1" applyFont="1" applyFill="1" applyBorder="1" applyAlignment="1">
      <alignment horizontal="center" vertical="center" wrapText="1"/>
    </xf>
    <xf numFmtId="164" fontId="3" fillId="5" borderId="14" xfId="0" applyNumberFormat="1" applyFont="1" applyFill="1" applyBorder="1" applyAlignment="1">
      <alignment horizontal="center" vertical="center" wrapText="1"/>
    </xf>
    <xf numFmtId="167" fontId="3" fillId="2" borderId="8" xfId="0" applyNumberFormat="1" applyFont="1" applyFill="1" applyBorder="1" applyAlignment="1">
      <alignment horizontal="center" vertical="center" wrapText="1"/>
    </xf>
    <xf numFmtId="167" fontId="3" fillId="2" borderId="17" xfId="0" applyNumberFormat="1" applyFont="1" applyFill="1" applyBorder="1" applyAlignment="1">
      <alignment horizontal="center" vertical="center" wrapText="1"/>
    </xf>
    <xf numFmtId="167" fontId="3" fillId="2" borderId="0" xfId="0" applyNumberFormat="1" applyFont="1" applyFill="1" applyBorder="1" applyAlignment="1">
      <alignment horizontal="center" vertical="center" wrapText="1"/>
    </xf>
    <xf numFmtId="168" fontId="3" fillId="2" borderId="0" xfId="0" applyNumberFormat="1" applyFont="1" applyFill="1" applyBorder="1" applyAlignment="1">
      <alignment horizontal="center" vertical="center" wrapText="1"/>
    </xf>
    <xf numFmtId="167" fontId="3" fillId="2" borderId="38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2" fontId="3" fillId="5" borderId="30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Border="1" applyAlignment="1">
      <alignment horizontal="center" vertical="center" wrapText="1"/>
    </xf>
    <xf numFmtId="11" fontId="3" fillId="2" borderId="16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2" borderId="60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horizontal="center" vertical="center" wrapText="1"/>
    </xf>
    <xf numFmtId="0" fontId="11" fillId="2" borderId="57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63" xfId="0" applyFont="1" applyFill="1" applyBorder="1" applyAlignment="1">
      <alignment horizontal="center" vertical="center" wrapText="1"/>
    </xf>
    <xf numFmtId="0" fontId="11" fillId="2" borderId="62" xfId="0" applyFont="1" applyFill="1" applyBorder="1" applyAlignment="1">
      <alignment horizontal="center" vertical="center" wrapText="1"/>
    </xf>
    <xf numFmtId="0" fontId="11" fillId="2" borderId="52" xfId="0" applyFont="1" applyFill="1" applyBorder="1" applyAlignment="1">
      <alignment horizontal="center" vertical="center" wrapText="1"/>
    </xf>
    <xf numFmtId="0" fontId="11" fillId="2" borderId="84" xfId="0" applyFont="1" applyFill="1" applyBorder="1" applyAlignment="1">
      <alignment horizontal="center" vertical="center" wrapText="1"/>
    </xf>
    <xf numFmtId="0" fontId="11" fillId="2" borderId="81" xfId="0" applyFont="1" applyFill="1" applyBorder="1" applyAlignment="1">
      <alignment horizontal="center" vertical="center" wrapText="1"/>
    </xf>
    <xf numFmtId="49" fontId="3" fillId="2" borderId="31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1" fillId="5" borderId="27" xfId="0" applyFont="1" applyFill="1" applyBorder="1" applyAlignment="1">
      <alignment horizontal="center" vertical="center" wrapText="1"/>
    </xf>
    <xf numFmtId="0" fontId="11" fillId="5" borderId="29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1" fillId="5" borderId="30" xfId="0" applyFont="1" applyFill="1" applyBorder="1" applyAlignment="1">
      <alignment horizontal="center" vertical="center" wrapText="1"/>
    </xf>
    <xf numFmtId="0" fontId="11" fillId="5" borderId="31" xfId="0" applyFont="1" applyFill="1" applyBorder="1" applyAlignment="1">
      <alignment horizontal="center" vertical="center" wrapText="1"/>
    </xf>
    <xf numFmtId="0" fontId="11" fillId="5" borderId="63" xfId="0" applyFont="1" applyFill="1" applyBorder="1" applyAlignment="1">
      <alignment horizontal="center" vertical="center" wrapText="1"/>
    </xf>
    <xf numFmtId="2" fontId="11" fillId="2" borderId="3" xfId="0" applyNumberFormat="1" applyFont="1" applyFill="1" applyBorder="1" applyAlignment="1">
      <alignment horizontal="center" vertical="center" wrapText="1"/>
    </xf>
    <xf numFmtId="0" fontId="11" fillId="2" borderId="3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2" fontId="11" fillId="5" borderId="54" xfId="0" applyNumberFormat="1" applyFont="1" applyFill="1" applyBorder="1" applyAlignment="1">
      <alignment horizontal="center" vertical="center" wrapText="1"/>
    </xf>
    <xf numFmtId="0" fontId="11" fillId="2" borderId="53" xfId="0" applyFont="1" applyFill="1" applyBorder="1" applyAlignment="1">
      <alignment horizontal="center" vertical="center" wrapText="1"/>
    </xf>
    <xf numFmtId="0" fontId="11" fillId="2" borderId="6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" fontId="11" fillId="5" borderId="54" xfId="0" applyNumberFormat="1" applyFont="1" applyFill="1" applyBorder="1" applyAlignment="1">
      <alignment horizontal="center" vertical="center" wrapText="1"/>
    </xf>
    <xf numFmtId="1" fontId="11" fillId="2" borderId="2" xfId="0" applyNumberFormat="1" applyFont="1" applyFill="1" applyBorder="1" applyAlignment="1">
      <alignment horizontal="center" vertical="center" wrapText="1"/>
    </xf>
    <xf numFmtId="1" fontId="11" fillId="5" borderId="2" xfId="0" applyNumberFormat="1" applyFont="1" applyFill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2" fontId="17" fillId="2" borderId="0" xfId="0" applyNumberFormat="1" applyFont="1" applyFill="1" applyBorder="1" applyAlignment="1">
      <alignment horizontal="center" vertical="center" wrapText="1"/>
    </xf>
    <xf numFmtId="1" fontId="17" fillId="2" borderId="0" xfId="0" applyNumberFormat="1" applyFont="1" applyFill="1" applyBorder="1" applyAlignment="1">
      <alignment horizontal="center" vertical="center" wrapText="1"/>
    </xf>
    <xf numFmtId="2" fontId="11" fillId="5" borderId="44" xfId="0" applyNumberFormat="1" applyFont="1" applyFill="1" applyBorder="1" applyAlignment="1">
      <alignment horizontal="center" vertical="center" wrapText="1"/>
    </xf>
    <xf numFmtId="2" fontId="11" fillId="2" borderId="35" xfId="0" applyNumberFormat="1" applyFont="1" applyFill="1" applyBorder="1" applyAlignment="1">
      <alignment horizontal="center" vertical="center" wrapText="1"/>
    </xf>
    <xf numFmtId="2" fontId="11" fillId="5" borderId="35" xfId="0" applyNumberFormat="1" applyFont="1" applyFill="1" applyBorder="1" applyAlignment="1">
      <alignment horizontal="center" vertical="center" wrapText="1"/>
    </xf>
    <xf numFmtId="1" fontId="11" fillId="5" borderId="4" xfId="0" applyNumberFormat="1" applyFont="1" applyFill="1" applyBorder="1" applyAlignment="1">
      <alignment horizontal="center" vertical="center" wrapText="1"/>
    </xf>
    <xf numFmtId="1" fontId="11" fillId="5" borderId="5" xfId="0" applyNumberFormat="1" applyFont="1" applyFill="1" applyBorder="1" applyAlignment="1">
      <alignment horizontal="center" vertical="center" wrapText="1"/>
    </xf>
    <xf numFmtId="1" fontId="11" fillId="5" borderId="6" xfId="0" applyNumberFormat="1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1" fontId="11" fillId="5" borderId="3" xfId="0" applyNumberFormat="1" applyFont="1" applyFill="1" applyBorder="1" applyAlignment="1">
      <alignment horizontal="center" vertical="center" wrapText="1"/>
    </xf>
    <xf numFmtId="2" fontId="11" fillId="5" borderId="60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2" fontId="3" fillId="0" borderId="54" xfId="0" applyNumberFormat="1" applyFont="1" applyFill="1" applyBorder="1" applyAlignment="1">
      <alignment horizontal="center" vertical="center" wrapText="1"/>
    </xf>
    <xf numFmtId="165" fontId="3" fillId="0" borderId="27" xfId="0" applyNumberFormat="1" applyFont="1" applyFill="1" applyBorder="1" applyAlignment="1">
      <alignment horizontal="center" vertical="center" wrapText="1"/>
    </xf>
    <xf numFmtId="2" fontId="3" fillId="0" borderId="29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2" fontId="3" fillId="0" borderId="27" xfId="0" applyNumberFormat="1" applyFont="1" applyFill="1" applyBorder="1" applyAlignment="1">
      <alignment horizontal="center" vertical="center" wrapText="1"/>
    </xf>
    <xf numFmtId="165" fontId="3" fillId="0" borderId="29" xfId="0" applyNumberFormat="1" applyFont="1" applyFill="1" applyBorder="1" applyAlignment="1">
      <alignment horizontal="center" vertical="center" wrapText="1"/>
    </xf>
    <xf numFmtId="165" fontId="3" fillId="0" borderId="4" xfId="0" applyNumberFormat="1" applyFont="1" applyFill="1" applyBorder="1" applyAlignment="1">
      <alignment horizontal="center" vertical="center" wrapText="1"/>
    </xf>
    <xf numFmtId="164" fontId="3" fillId="0" borderId="55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11" fontId="3" fillId="0" borderId="4" xfId="0" applyNumberFormat="1" applyFont="1" applyFill="1" applyBorder="1" applyAlignment="1">
      <alignment horizontal="center" vertical="center" wrapText="1"/>
    </xf>
    <xf numFmtId="164" fontId="3" fillId="0" borderId="16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165" fontId="3" fillId="0" borderId="30" xfId="0" applyNumberFormat="1" applyFont="1" applyFill="1" applyBorder="1" applyAlignment="1">
      <alignment horizontal="center" vertical="center" wrapText="1"/>
    </xf>
    <xf numFmtId="2" fontId="3" fillId="0" borderId="31" xfId="0" applyNumberFormat="1" applyFont="1" applyFill="1" applyBorder="1" applyAlignment="1">
      <alignment horizontal="center" vertical="center" wrapText="1"/>
    </xf>
    <xf numFmtId="2" fontId="3" fillId="0" borderId="35" xfId="0" applyNumberFormat="1" applyFont="1" applyFill="1" applyBorder="1" applyAlignment="1">
      <alignment horizontal="center" vertical="center" wrapText="1"/>
    </xf>
    <xf numFmtId="11" fontId="3" fillId="0" borderId="30" xfId="0" applyNumberFormat="1" applyFont="1" applyFill="1" applyBorder="1" applyAlignment="1">
      <alignment horizontal="center" vertical="center" wrapText="1"/>
    </xf>
    <xf numFmtId="165" fontId="3" fillId="0" borderId="31" xfId="0" applyNumberFormat="1" applyFont="1" applyFill="1" applyBorder="1" applyAlignment="1">
      <alignment horizontal="center" vertical="center" wrapText="1"/>
    </xf>
    <xf numFmtId="165" fontId="3" fillId="0" borderId="5" xfId="0" applyNumberFormat="1" applyFont="1" applyFill="1" applyBorder="1" applyAlignment="1">
      <alignment horizontal="center" vertical="center" wrapText="1"/>
    </xf>
    <xf numFmtId="164" fontId="3" fillId="0" borderId="56" xfId="0" applyNumberFormat="1" applyFont="1" applyFill="1" applyBorder="1" applyAlignment="1">
      <alignment horizontal="center" vertical="center" wrapText="1"/>
    </xf>
    <xf numFmtId="11" fontId="3" fillId="0" borderId="5" xfId="0" applyNumberFormat="1" applyFont="1" applyFill="1" applyBorder="1" applyAlignment="1">
      <alignment horizontal="center" vertical="center" wrapText="1"/>
    </xf>
    <xf numFmtId="11" fontId="3" fillId="0" borderId="16" xfId="0" applyNumberFormat="1" applyFont="1" applyFill="1" applyBorder="1" applyAlignment="1">
      <alignment horizontal="center" vertical="center" wrapText="1"/>
    </xf>
    <xf numFmtId="166" fontId="3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2" fontId="3" fillId="0" borderId="60" xfId="0" applyNumberFormat="1" applyFont="1" applyFill="1" applyBorder="1" applyAlignment="1">
      <alignment horizontal="center" vertical="center" wrapText="1"/>
    </xf>
    <xf numFmtId="2" fontId="3" fillId="0" borderId="44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165" fontId="3" fillId="0" borderId="32" xfId="0" applyNumberFormat="1" applyFont="1" applyFill="1" applyBorder="1" applyAlignment="1">
      <alignment horizontal="center" vertical="center" wrapText="1"/>
    </xf>
    <xf numFmtId="2" fontId="3" fillId="0" borderId="34" xfId="0" applyNumberFormat="1" applyFont="1" applyFill="1" applyBorder="1" applyAlignment="1">
      <alignment horizontal="center" vertical="center" wrapText="1"/>
    </xf>
    <xf numFmtId="11" fontId="3" fillId="0" borderId="32" xfId="0" applyNumberFormat="1" applyFont="1" applyFill="1" applyBorder="1" applyAlignment="1">
      <alignment horizontal="center" vertical="center" wrapText="1"/>
    </xf>
    <xf numFmtId="165" fontId="3" fillId="0" borderId="34" xfId="0" applyNumberFormat="1" applyFont="1" applyFill="1" applyBorder="1" applyAlignment="1">
      <alignment horizontal="center" vertical="center" wrapText="1"/>
    </xf>
    <xf numFmtId="165" fontId="3" fillId="0" borderId="6" xfId="0" applyNumberFormat="1" applyFont="1" applyFill="1" applyBorder="1" applyAlignment="1">
      <alignment horizontal="center" vertical="center" wrapText="1"/>
    </xf>
    <xf numFmtId="164" fontId="3" fillId="0" borderId="57" xfId="0" applyNumberFormat="1" applyFont="1" applyFill="1" applyBorder="1" applyAlignment="1">
      <alignment horizontal="center" vertical="center" wrapText="1"/>
    </xf>
    <xf numFmtId="11" fontId="3" fillId="0" borderId="6" xfId="0" applyNumberFormat="1" applyFont="1" applyFill="1" applyBorder="1" applyAlignment="1">
      <alignment horizontal="center" vertical="center" wrapText="1"/>
    </xf>
    <xf numFmtId="166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2" fontId="3" fillId="0" borderId="6" xfId="0" applyNumberFormat="1" applyFont="1" applyFill="1" applyBorder="1" applyAlignment="1">
      <alignment horizontal="center" vertical="center" wrapText="1"/>
    </xf>
    <xf numFmtId="49" fontId="3" fillId="0" borderId="54" xfId="0" applyNumberFormat="1" applyFont="1" applyFill="1" applyBorder="1" applyAlignment="1">
      <alignment horizontal="center" vertical="center" wrapText="1"/>
    </xf>
    <xf numFmtId="11" fontId="3" fillId="0" borderId="27" xfId="0" applyNumberFormat="1" applyFont="1" applyFill="1" applyBorder="1" applyAlignment="1">
      <alignment horizontal="center" vertical="center" wrapText="1"/>
    </xf>
    <xf numFmtId="167" fontId="3" fillId="0" borderId="29" xfId="0" applyNumberFormat="1" applyFont="1" applyFill="1" applyBorder="1" applyAlignment="1">
      <alignment horizontal="center" vertical="center" wrapText="1"/>
    </xf>
    <xf numFmtId="165" fontId="3" fillId="0" borderId="46" xfId="0" applyNumberFormat="1" applyFont="1" applyFill="1" applyBorder="1" applyAlignment="1">
      <alignment horizontal="center" vertical="center" wrapText="1"/>
    </xf>
    <xf numFmtId="11" fontId="3" fillId="0" borderId="54" xfId="0" applyNumberFormat="1" applyFont="1" applyFill="1" applyBorder="1" applyAlignment="1">
      <alignment horizontal="center" vertical="center" wrapText="1"/>
    </xf>
    <xf numFmtId="166" fontId="3" fillId="0" borderId="4" xfId="0" applyNumberFormat="1" applyFont="1" applyFill="1" applyBorder="1" applyAlignment="1">
      <alignment horizontal="center" vertical="center" wrapText="1"/>
    </xf>
    <xf numFmtId="165" fontId="3" fillId="0" borderId="47" xfId="0" applyNumberFormat="1" applyFont="1" applyFill="1" applyBorder="1" applyAlignment="1">
      <alignment horizontal="center" vertical="center" wrapText="1"/>
    </xf>
    <xf numFmtId="11" fontId="3" fillId="0" borderId="2" xfId="0" applyNumberFormat="1" applyFont="1" applyFill="1" applyBorder="1" applyAlignment="1">
      <alignment horizontal="center" vertical="center" wrapText="1"/>
    </xf>
    <xf numFmtId="167" fontId="3" fillId="0" borderId="30" xfId="0" applyNumberFormat="1" applyFont="1" applyFill="1" applyBorder="1" applyAlignment="1">
      <alignment horizontal="center" vertical="center" wrapText="1"/>
    </xf>
    <xf numFmtId="2" fontId="3" fillId="0" borderId="82" xfId="0" applyNumberFormat="1" applyFont="1" applyFill="1" applyBorder="1" applyAlignment="1">
      <alignment horizontal="center" vertical="center" wrapText="1"/>
    </xf>
    <xf numFmtId="165" fontId="3" fillId="0" borderId="58" xfId="0" applyNumberFormat="1" applyFont="1" applyFill="1" applyBorder="1" applyAlignment="1">
      <alignment horizontal="center" vertical="center" wrapText="1"/>
    </xf>
    <xf numFmtId="11" fontId="3" fillId="0" borderId="3" xfId="0" applyNumberFormat="1" applyFont="1" applyFill="1" applyBorder="1" applyAlignment="1">
      <alignment horizontal="center" vertical="center" wrapText="1"/>
    </xf>
    <xf numFmtId="2" fontId="3" fillId="2" borderId="26" xfId="0" applyNumberFormat="1" applyFont="1" applyFill="1" applyBorder="1" applyAlignment="1">
      <alignment vertical="center" wrapText="1"/>
    </xf>
    <xf numFmtId="0" fontId="3" fillId="2" borderId="26" xfId="0" applyFont="1" applyFill="1" applyBorder="1" applyAlignment="1">
      <alignment horizontal="right" vertical="center" wrapText="1"/>
    </xf>
    <xf numFmtId="2" fontId="3" fillId="4" borderId="26" xfId="0" applyNumberFormat="1" applyFont="1" applyFill="1" applyBorder="1" applyAlignment="1">
      <alignment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vertical="center" wrapText="1"/>
    </xf>
    <xf numFmtId="2" fontId="3" fillId="0" borderId="26" xfId="0" applyNumberFormat="1" applyFont="1" applyFill="1" applyBorder="1" applyAlignment="1">
      <alignment vertical="center" wrapText="1"/>
    </xf>
    <xf numFmtId="0" fontId="3" fillId="0" borderId="26" xfId="0" applyFont="1" applyFill="1" applyBorder="1" applyAlignment="1">
      <alignment horizontal="right" vertical="center" wrapText="1"/>
    </xf>
    <xf numFmtId="0" fontId="11" fillId="5" borderId="55" xfId="0" applyFont="1" applyFill="1" applyBorder="1" applyAlignment="1">
      <alignment horizontal="center" vertical="center" wrapText="1"/>
    </xf>
    <xf numFmtId="0" fontId="11" fillId="5" borderId="8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11" fillId="5" borderId="69" xfId="0" applyFont="1" applyFill="1" applyBorder="1" applyAlignment="1">
      <alignment horizontal="center" vertical="center" wrapText="1"/>
    </xf>
    <xf numFmtId="0" fontId="11" fillId="2" borderId="69" xfId="0" applyFont="1" applyFill="1" applyBorder="1" applyAlignment="1">
      <alignment horizontal="center" vertical="center" wrapText="1"/>
    </xf>
    <xf numFmtId="1" fontId="11" fillId="2" borderId="5" xfId="0" applyNumberFormat="1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 wrapText="1"/>
    </xf>
    <xf numFmtId="1" fontId="11" fillId="5" borderId="0" xfId="0" applyNumberFormat="1" applyFont="1" applyFill="1" applyBorder="1" applyAlignment="1">
      <alignment horizontal="center" vertical="center" wrapText="1"/>
    </xf>
    <xf numFmtId="2" fontId="11" fillId="5" borderId="0" xfId="0" applyNumberFormat="1" applyFont="1" applyFill="1" applyBorder="1" applyAlignment="1">
      <alignment horizontal="center" vertical="center" wrapText="1"/>
    </xf>
    <xf numFmtId="164" fontId="17" fillId="2" borderId="0" xfId="0" applyNumberFormat="1" applyFont="1" applyFill="1" applyBorder="1" applyAlignment="1">
      <alignment horizontal="center" vertical="center" wrapText="1"/>
    </xf>
    <xf numFmtId="0" fontId="11" fillId="2" borderId="65" xfId="0" applyFont="1" applyFill="1" applyBorder="1" applyAlignment="1">
      <alignment horizontal="center" vertical="center" wrapText="1"/>
    </xf>
    <xf numFmtId="0" fontId="11" fillId="2" borderId="85" xfId="0" applyFont="1" applyFill="1" applyBorder="1" applyAlignment="1">
      <alignment horizontal="center" vertical="center" wrapText="1"/>
    </xf>
    <xf numFmtId="49" fontId="3" fillId="2" borderId="35" xfId="0" applyNumberFormat="1" applyFont="1" applyFill="1" applyBorder="1" applyAlignment="1">
      <alignment horizontal="center" vertical="center" wrapText="1"/>
    </xf>
    <xf numFmtId="49" fontId="3" fillId="2" borderId="60" xfId="0" applyNumberFormat="1" applyFont="1" applyFill="1" applyBorder="1" applyAlignment="1">
      <alignment horizontal="center" vertical="center" wrapText="1"/>
    </xf>
    <xf numFmtId="1" fontId="3" fillId="2" borderId="29" xfId="0" applyNumberFormat="1" applyFont="1" applyFill="1" applyBorder="1" applyAlignment="1">
      <alignment horizontal="center" vertical="center" wrapText="1"/>
    </xf>
    <xf numFmtId="1" fontId="3" fillId="2" borderId="44" xfId="0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167" fontId="3" fillId="0" borderId="37" xfId="0" applyNumberFormat="1" applyFont="1" applyFill="1" applyBorder="1" applyAlignment="1">
      <alignment horizontal="center" vertical="center" wrapText="1"/>
    </xf>
    <xf numFmtId="11" fontId="3" fillId="0" borderId="1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11" fontId="3" fillId="0" borderId="36" xfId="0" applyNumberFormat="1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1" fontId="3" fillId="0" borderId="46" xfId="0" applyNumberFormat="1" applyFont="1" applyFill="1" applyBorder="1" applyAlignment="1">
      <alignment horizontal="center" vertical="center" wrapText="1"/>
    </xf>
    <xf numFmtId="11" fontId="3" fillId="0" borderId="51" xfId="0" applyNumberFormat="1" applyFont="1" applyFill="1" applyBorder="1" applyAlignment="1">
      <alignment horizontal="center" vertical="center" wrapText="1"/>
    </xf>
    <xf numFmtId="11" fontId="3" fillId="0" borderId="58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11" fontId="3" fillId="0" borderId="20" xfId="0" applyNumberFormat="1" applyFont="1" applyFill="1" applyBorder="1" applyAlignment="1">
      <alignment horizontal="center" vertical="center" wrapText="1"/>
    </xf>
    <xf numFmtId="49" fontId="3" fillId="0" borderId="37" xfId="0" applyNumberFormat="1" applyFont="1" applyFill="1" applyBorder="1" applyAlignment="1">
      <alignment horizontal="center" vertical="center" wrapText="1"/>
    </xf>
    <xf numFmtId="11" fontId="3" fillId="0" borderId="25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167" fontId="3" fillId="0" borderId="14" xfId="0" applyNumberFormat="1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11" fontId="3" fillId="0" borderId="83" xfId="0" applyNumberFormat="1" applyFont="1" applyFill="1" applyBorder="1" applyAlignment="1">
      <alignment horizontal="center" vertical="center" wrapText="1"/>
    </xf>
    <xf numFmtId="11" fontId="3" fillId="0" borderId="47" xfId="0" applyNumberFormat="1" applyFont="1" applyFill="1" applyBorder="1" applyAlignment="1">
      <alignment horizontal="center" vertical="center" wrapText="1"/>
    </xf>
    <xf numFmtId="0" fontId="3" fillId="0" borderId="81" xfId="0" applyFont="1" applyFill="1" applyBorder="1" applyAlignment="1">
      <alignment horizontal="center" vertical="center" wrapText="1"/>
    </xf>
    <xf numFmtId="11" fontId="3" fillId="0" borderId="29" xfId="0" applyNumberFormat="1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/>
    </xf>
    <xf numFmtId="11" fontId="3" fillId="0" borderId="31" xfId="0" applyNumberFormat="1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11" fontId="3" fillId="0" borderId="34" xfId="0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168" fontId="3" fillId="0" borderId="5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Fill="1" applyBorder="1" applyAlignment="1">
      <alignment horizontal="center" vertical="center" wrapText="1"/>
    </xf>
    <xf numFmtId="169" fontId="3" fillId="2" borderId="4" xfId="0" applyNumberFormat="1" applyFont="1" applyFill="1" applyBorder="1" applyAlignment="1">
      <alignment horizontal="center" vertical="center" wrapText="1"/>
    </xf>
    <xf numFmtId="170" fontId="4" fillId="2" borderId="0" xfId="0" applyNumberFormat="1" applyFont="1" applyFill="1" applyBorder="1" applyAlignment="1">
      <alignment horizontal="center" vertical="center" wrapText="1"/>
    </xf>
    <xf numFmtId="0" fontId="18" fillId="0" borderId="26" xfId="0" applyFont="1" applyBorder="1"/>
    <xf numFmtId="0" fontId="19" fillId="0" borderId="0" xfId="0" applyFont="1"/>
    <xf numFmtId="0" fontId="19" fillId="0" borderId="26" xfId="0" applyFont="1" applyBorder="1" applyAlignment="1">
      <alignment horizontal="center" vertical="center"/>
    </xf>
    <xf numFmtId="167" fontId="19" fillId="0" borderId="26" xfId="0" applyNumberFormat="1" applyFont="1" applyBorder="1" applyAlignment="1">
      <alignment horizontal="center" vertical="center"/>
    </xf>
    <xf numFmtId="168" fontId="19" fillId="0" borderId="26" xfId="0" applyNumberFormat="1" applyFont="1" applyBorder="1" applyAlignment="1">
      <alignment horizontal="center" vertical="center"/>
    </xf>
    <xf numFmtId="165" fontId="19" fillId="0" borderId="26" xfId="0" applyNumberFormat="1" applyFont="1" applyBorder="1" applyAlignment="1">
      <alignment horizontal="center" vertical="center"/>
    </xf>
    <xf numFmtId="164" fontId="19" fillId="0" borderId="26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171" fontId="19" fillId="0" borderId="26" xfId="0" applyNumberFormat="1" applyFont="1" applyBorder="1" applyAlignment="1">
      <alignment horizontal="center" vertical="center"/>
    </xf>
    <xf numFmtId="0" fontId="19" fillId="0" borderId="69" xfId="0" applyFont="1" applyBorder="1" applyAlignment="1">
      <alignment horizontal="center" vertical="center"/>
    </xf>
    <xf numFmtId="165" fontId="19" fillId="0" borderId="0" xfId="0" applyNumberFormat="1" applyFont="1"/>
    <xf numFmtId="0" fontId="18" fillId="0" borderId="26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/>
    <xf numFmtId="166" fontId="19" fillId="0" borderId="26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/>
    </xf>
    <xf numFmtId="0" fontId="5" fillId="2" borderId="7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2" fontId="4" fillId="2" borderId="19" xfId="0" applyNumberFormat="1" applyFont="1" applyFill="1" applyBorder="1" applyAlignment="1">
      <alignment horizontal="center" vertical="center" wrapText="1"/>
    </xf>
    <xf numFmtId="2" fontId="4" fillId="2" borderId="2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4" fillId="2" borderId="70" xfId="0" applyFont="1" applyFill="1" applyBorder="1" applyAlignment="1">
      <alignment horizontal="left" vertical="center" wrapText="1"/>
    </xf>
    <xf numFmtId="0" fontId="4" fillId="2" borderId="71" xfId="0" applyFont="1" applyFill="1" applyBorder="1" applyAlignment="1">
      <alignment horizontal="left" vertical="center" wrapText="1"/>
    </xf>
    <xf numFmtId="0" fontId="4" fillId="2" borderId="72" xfId="0" applyFont="1" applyFill="1" applyBorder="1" applyAlignment="1">
      <alignment horizontal="left" vertical="center" wrapText="1"/>
    </xf>
    <xf numFmtId="0" fontId="4" fillId="2" borderId="73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74" xfId="0" applyFont="1" applyFill="1" applyBorder="1" applyAlignment="1">
      <alignment horizontal="left" vertical="center" wrapText="1"/>
    </xf>
    <xf numFmtId="0" fontId="4" fillId="2" borderId="75" xfId="0" applyFont="1" applyFill="1" applyBorder="1" applyAlignment="1">
      <alignment horizontal="left" vertical="center" wrapText="1"/>
    </xf>
    <xf numFmtId="0" fontId="4" fillId="2" borderId="76" xfId="0" applyFont="1" applyFill="1" applyBorder="1" applyAlignment="1">
      <alignment horizontal="left" vertical="center" wrapText="1"/>
    </xf>
    <xf numFmtId="0" fontId="4" fillId="2" borderId="77" xfId="0" applyFont="1" applyFill="1" applyBorder="1" applyAlignment="1">
      <alignment horizontal="left" vertical="center" wrapText="1"/>
    </xf>
    <xf numFmtId="0" fontId="3" fillId="2" borderId="70" xfId="0" applyFont="1" applyFill="1" applyBorder="1" applyAlignment="1">
      <alignment horizontal="left" vertical="center" wrapText="1"/>
    </xf>
    <xf numFmtId="0" fontId="3" fillId="2" borderId="71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75" xfId="0" applyFont="1" applyFill="1" applyBorder="1" applyAlignment="1">
      <alignment horizontal="left" vertical="center" wrapText="1"/>
    </xf>
    <xf numFmtId="0" fontId="3" fillId="2" borderId="76" xfId="0" applyFont="1" applyFill="1" applyBorder="1" applyAlignment="1">
      <alignment horizontal="left" vertical="center" wrapText="1"/>
    </xf>
    <xf numFmtId="0" fontId="3" fillId="2" borderId="77" xfId="0" applyFont="1" applyFill="1" applyBorder="1" applyAlignment="1">
      <alignment horizontal="left" vertical="center" wrapText="1"/>
    </xf>
    <xf numFmtId="0" fontId="3" fillId="2" borderId="78" xfId="0" applyFont="1" applyFill="1" applyBorder="1" applyAlignment="1">
      <alignment horizontal="left" vertical="center" wrapText="1"/>
    </xf>
    <xf numFmtId="0" fontId="3" fillId="2" borderId="79" xfId="0" applyFont="1" applyFill="1" applyBorder="1" applyAlignment="1">
      <alignment horizontal="left" vertical="center" wrapText="1"/>
    </xf>
    <xf numFmtId="0" fontId="3" fillId="2" borderId="80" xfId="0" applyFont="1" applyFill="1" applyBorder="1" applyAlignment="1">
      <alignment horizontal="left" vertical="center" wrapText="1"/>
    </xf>
    <xf numFmtId="2" fontId="3" fillId="2" borderId="0" xfId="0" applyNumberFormat="1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6" borderId="18" xfId="0" applyFont="1" applyFill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center" wrapText="1"/>
    </xf>
    <xf numFmtId="0" fontId="4" fillId="6" borderId="21" xfId="0" applyFont="1" applyFill="1" applyBorder="1" applyAlignment="1">
      <alignment horizontal="center" vertical="center" wrapText="1"/>
    </xf>
    <xf numFmtId="0" fontId="4" fillId="6" borderId="22" xfId="0" applyFont="1" applyFill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7" borderId="18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 wrapText="1"/>
    </xf>
    <xf numFmtId="0" fontId="4" fillId="7" borderId="20" xfId="0" applyFont="1" applyFill="1" applyBorder="1" applyAlignment="1">
      <alignment horizontal="center" vertical="center" wrapText="1"/>
    </xf>
    <xf numFmtId="0" fontId="4" fillId="7" borderId="24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 vertical="center" wrapText="1"/>
    </xf>
    <xf numFmtId="0" fontId="4" fillId="7" borderId="25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164" fontId="4" fillId="5" borderId="18" xfId="0" applyNumberFormat="1" applyFont="1" applyFill="1" applyBorder="1" applyAlignment="1">
      <alignment horizontal="center" vertical="center" wrapText="1"/>
    </xf>
    <xf numFmtId="164" fontId="4" fillId="5" borderId="20" xfId="0" applyNumberFormat="1" applyFont="1" applyFill="1" applyBorder="1" applyAlignment="1">
      <alignment horizontal="center" vertical="center" wrapText="1"/>
    </xf>
    <xf numFmtId="164" fontId="4" fillId="5" borderId="21" xfId="0" applyNumberFormat="1" applyFont="1" applyFill="1" applyBorder="1" applyAlignment="1">
      <alignment horizontal="center" vertical="center" wrapText="1"/>
    </xf>
    <xf numFmtId="164" fontId="4" fillId="5" borderId="23" xfId="0" applyNumberFormat="1" applyFont="1" applyFill="1" applyBorder="1" applyAlignment="1">
      <alignment horizontal="center" vertical="center" wrapText="1"/>
    </xf>
    <xf numFmtId="49" fontId="13" fillId="5" borderId="27" xfId="0" applyNumberFormat="1" applyFont="1" applyFill="1" applyBorder="1" applyAlignment="1">
      <alignment horizontal="center" vertical="center" wrapText="1"/>
    </xf>
    <xf numFmtId="49" fontId="13" fillId="5" borderId="29" xfId="0" applyNumberFormat="1" applyFont="1" applyFill="1" applyBorder="1" applyAlignment="1">
      <alignment horizontal="center" vertical="center" wrapText="1"/>
    </xf>
    <xf numFmtId="49" fontId="13" fillId="5" borderId="30" xfId="0" applyNumberFormat="1" applyFont="1" applyFill="1" applyBorder="1" applyAlignment="1">
      <alignment horizontal="center" vertical="center" wrapText="1"/>
    </xf>
    <xf numFmtId="49" fontId="13" fillId="5" borderId="31" xfId="0" applyNumberFormat="1" applyFont="1" applyFill="1" applyBorder="1" applyAlignment="1">
      <alignment horizontal="center" vertical="center" wrapText="1"/>
    </xf>
    <xf numFmtId="49" fontId="13" fillId="5" borderId="32" xfId="0" applyNumberFormat="1" applyFont="1" applyFill="1" applyBorder="1" applyAlignment="1">
      <alignment horizontal="center" vertical="center" wrapText="1"/>
    </xf>
    <xf numFmtId="49" fontId="13" fillId="5" borderId="34" xfId="0" applyNumberFormat="1" applyFont="1" applyFill="1" applyBorder="1" applyAlignment="1">
      <alignment horizontal="center" vertical="center" wrapText="1"/>
    </xf>
    <xf numFmtId="164" fontId="3" fillId="5" borderId="4" xfId="0" applyNumberFormat="1" applyFont="1" applyFill="1" applyBorder="1" applyAlignment="1">
      <alignment horizontal="center" vertical="center" wrapText="1"/>
    </xf>
    <xf numFmtId="164" fontId="3" fillId="5" borderId="5" xfId="0" applyNumberFormat="1" applyFont="1" applyFill="1" applyBorder="1" applyAlignment="1">
      <alignment horizontal="center" vertical="center" wrapText="1"/>
    </xf>
    <xf numFmtId="164" fontId="3" fillId="5" borderId="6" xfId="0" applyNumberFormat="1" applyFont="1" applyFill="1" applyBorder="1" applyAlignment="1">
      <alignment horizontal="center" vertical="center" wrapText="1"/>
    </xf>
    <xf numFmtId="164" fontId="4" fillId="5" borderId="46" xfId="0" applyNumberFormat="1" applyFont="1" applyFill="1" applyBorder="1" applyAlignment="1">
      <alignment horizontal="center" vertical="center" wrapText="1"/>
    </xf>
    <xf numFmtId="164" fontId="4" fillId="5" borderId="47" xfId="0" applyNumberFormat="1" applyFont="1" applyFill="1" applyBorder="1" applyAlignment="1">
      <alignment horizontal="center" vertical="center" wrapText="1"/>
    </xf>
    <xf numFmtId="164" fontId="4" fillId="5" borderId="58" xfId="0" applyNumberFormat="1" applyFont="1" applyFill="1" applyBorder="1" applyAlignment="1">
      <alignment horizontal="center" vertical="center" wrapText="1"/>
    </xf>
    <xf numFmtId="0" fontId="3" fillId="6" borderId="40" xfId="0" applyFont="1" applyFill="1" applyBorder="1" applyAlignment="1">
      <alignment horizontal="center" vertical="center" wrapText="1"/>
    </xf>
    <xf numFmtId="0" fontId="4" fillId="6" borderId="24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center" vertical="center" wrapText="1"/>
    </xf>
    <xf numFmtId="0" fontId="4" fillId="6" borderId="25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164" fontId="15" fillId="2" borderId="15" xfId="0" applyNumberFormat="1" applyFont="1" applyFill="1" applyBorder="1" applyAlignment="1">
      <alignment horizontal="right" vertical="center" wrapText="1" indent="1"/>
    </xf>
    <xf numFmtId="164" fontId="15" fillId="2" borderId="22" xfId="0" applyNumberFormat="1" applyFont="1" applyFill="1" applyBorder="1" applyAlignment="1">
      <alignment horizontal="right" vertical="center" wrapText="1" indent="1"/>
    </xf>
    <xf numFmtId="164" fontId="15" fillId="2" borderId="83" xfId="0" applyNumberFormat="1" applyFont="1" applyFill="1" applyBorder="1" applyAlignment="1">
      <alignment horizontal="right" vertical="center" wrapText="1" indent="1"/>
    </xf>
    <xf numFmtId="0" fontId="4" fillId="6" borderId="18" xfId="0" applyFont="1" applyFill="1" applyBorder="1" applyAlignment="1">
      <alignment horizontal="left" vertical="center" wrapText="1"/>
    </xf>
    <xf numFmtId="0" fontId="4" fillId="6" borderId="19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0" fontId="4" fillId="6" borderId="21" xfId="0" applyFont="1" applyFill="1" applyBorder="1" applyAlignment="1">
      <alignment horizontal="left" vertical="center" wrapText="1"/>
    </xf>
    <xf numFmtId="0" fontId="4" fillId="6" borderId="22" xfId="0" applyFont="1" applyFill="1" applyBorder="1" applyAlignment="1">
      <alignment horizontal="left" vertical="center" wrapText="1"/>
    </xf>
    <xf numFmtId="0" fontId="4" fillId="6" borderId="23" xfId="0" applyFont="1" applyFill="1" applyBorder="1" applyAlignment="1">
      <alignment horizontal="left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59" xfId="0" applyFont="1" applyFill="1" applyBorder="1" applyAlignment="1">
      <alignment horizontal="center" vertical="center" wrapText="1"/>
    </xf>
    <xf numFmtId="0" fontId="3" fillId="6" borderId="37" xfId="0" applyFont="1" applyFill="1" applyBorder="1" applyAlignment="1">
      <alignment horizontal="center" vertical="center" wrapText="1"/>
    </xf>
    <xf numFmtId="0" fontId="3" fillId="6" borderId="59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3" fillId="6" borderId="29" xfId="0" applyFont="1" applyFill="1" applyBorder="1" applyAlignment="1">
      <alignment horizontal="center" vertical="center" wrapText="1"/>
    </xf>
    <xf numFmtId="0" fontId="4" fillId="6" borderId="37" xfId="0" applyFont="1" applyFill="1" applyBorder="1" applyAlignment="1">
      <alignment horizontal="center" vertical="center" wrapText="1"/>
    </xf>
    <xf numFmtId="0" fontId="4" fillId="6" borderId="59" xfId="0" applyFont="1" applyFill="1" applyBorder="1" applyAlignment="1">
      <alignment horizontal="center" vertical="center" wrapText="1"/>
    </xf>
    <xf numFmtId="164" fontId="15" fillId="2" borderId="0" xfId="0" applyNumberFormat="1" applyFont="1" applyFill="1" applyBorder="1" applyAlignment="1">
      <alignment horizontal="right" vertical="center" wrapText="1" inden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59" xfId="0" applyFont="1" applyFill="1" applyBorder="1" applyAlignment="1">
      <alignment horizontal="center" vertical="center" wrapText="1"/>
    </xf>
    <xf numFmtId="164" fontId="15" fillId="2" borderId="82" xfId="0" applyNumberFormat="1" applyFont="1" applyFill="1" applyBorder="1" applyAlignment="1">
      <alignment horizontal="right" vertical="center" wrapText="1" indent="1"/>
    </xf>
    <xf numFmtId="0" fontId="4" fillId="0" borderId="18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left" vertical="center" wrapText="1"/>
    </xf>
    <xf numFmtId="0" fontId="4" fillId="0" borderId="38" xfId="0" applyFont="1" applyFill="1" applyBorder="1" applyAlignment="1">
      <alignment horizontal="center" vertical="center" wrapText="1"/>
    </xf>
    <xf numFmtId="164" fontId="15" fillId="2" borderId="21" xfId="0" applyNumberFormat="1" applyFont="1" applyFill="1" applyBorder="1" applyAlignment="1">
      <alignment horizontal="right" vertical="center" wrapText="1" indent="1"/>
    </xf>
    <xf numFmtId="164" fontId="15" fillId="2" borderId="23" xfId="0" applyNumberFormat="1" applyFont="1" applyFill="1" applyBorder="1" applyAlignment="1">
      <alignment horizontal="right" vertical="center" wrapText="1" indent="1"/>
    </xf>
    <xf numFmtId="11" fontId="3" fillId="0" borderId="36" xfId="0" applyNumberFormat="1" applyFont="1" applyFill="1" applyBorder="1" applyAlignment="1">
      <alignment horizontal="center" vertical="center" wrapText="1"/>
    </xf>
    <xf numFmtId="11" fontId="3" fillId="0" borderId="59" xfId="0" applyNumberFormat="1" applyFont="1" applyFill="1" applyBorder="1" applyAlignment="1">
      <alignment horizontal="center" vertical="center" wrapText="1"/>
    </xf>
    <xf numFmtId="11" fontId="3" fillId="0" borderId="17" xfId="0" applyNumberFormat="1" applyFont="1" applyFill="1" applyBorder="1" applyAlignment="1">
      <alignment horizontal="center" vertical="center" wrapText="1"/>
    </xf>
    <xf numFmtId="11" fontId="3" fillId="0" borderId="37" xfId="0" applyNumberFormat="1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49" fontId="13" fillId="2" borderId="0" xfId="0" applyNumberFormat="1" applyFont="1" applyFill="1" applyBorder="1" applyAlignment="1">
      <alignment horizontal="center" vertical="center" wrapText="1"/>
    </xf>
    <xf numFmtId="164" fontId="3" fillId="2" borderId="0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167" fontId="3" fillId="0" borderId="4" xfId="0" applyNumberFormat="1" applyFont="1" applyFill="1" applyBorder="1" applyAlignment="1">
      <alignment horizontal="center" vertical="center" wrapText="1"/>
    </xf>
    <xf numFmtId="167" fontId="3" fillId="0" borderId="6" xfId="0" applyNumberFormat="1" applyFont="1" applyFill="1" applyBorder="1" applyAlignment="1">
      <alignment horizontal="center" vertical="center" wrapText="1"/>
    </xf>
    <xf numFmtId="49" fontId="3" fillId="0" borderId="54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66" xfId="0" applyNumberFormat="1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/>
    </xf>
    <xf numFmtId="0" fontId="3" fillId="2" borderId="60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167" fontId="3" fillId="0" borderId="5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36" xfId="0" applyNumberFormat="1" applyFont="1" applyFill="1" applyBorder="1" applyAlignment="1">
      <alignment horizontal="center" vertical="center" wrapText="1"/>
    </xf>
    <xf numFmtId="167" fontId="3" fillId="0" borderId="37" xfId="0" applyNumberFormat="1" applyFont="1" applyFill="1" applyBorder="1" applyAlignment="1">
      <alignment horizontal="center" vertical="center" wrapText="1"/>
    </xf>
    <xf numFmtId="167" fontId="3" fillId="0" borderId="59" xfId="0" applyNumberFormat="1" applyFont="1" applyFill="1" applyBorder="1" applyAlignment="1">
      <alignment horizontal="center" vertical="center" wrapText="1"/>
    </xf>
    <xf numFmtId="167" fontId="3" fillId="0" borderId="36" xfId="0" applyNumberFormat="1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2" fontId="3" fillId="0" borderId="37" xfId="0" applyNumberFormat="1" applyFont="1" applyFill="1" applyBorder="1" applyAlignment="1">
      <alignment horizontal="center" vertical="center" wrapText="1"/>
    </xf>
    <xf numFmtId="2" fontId="3" fillId="0" borderId="59" xfId="0" applyNumberFormat="1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82" xfId="0" applyFont="1" applyFill="1" applyBorder="1" applyAlignment="1">
      <alignment horizontal="center" vertical="center" wrapText="1"/>
    </xf>
    <xf numFmtId="0" fontId="3" fillId="2" borderId="83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8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83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37" xfId="0" applyFont="1" applyFill="1" applyBorder="1" applyAlignment="1">
      <alignment horizontal="center" vertical="center" wrapText="1"/>
    </xf>
    <xf numFmtId="0" fontId="11" fillId="2" borderId="38" xfId="0" applyFont="1" applyFill="1" applyBorder="1" applyAlignment="1">
      <alignment horizontal="center" vertical="center" wrapText="1"/>
    </xf>
    <xf numFmtId="0" fontId="11" fillId="2" borderId="54" xfId="0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11" fillId="5" borderId="3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55" xfId="0" applyFont="1" applyFill="1" applyBorder="1" applyAlignment="1">
      <alignment horizontal="center" vertical="center" wrapText="1"/>
    </xf>
    <xf numFmtId="0" fontId="11" fillId="2" borderId="44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11" fillId="3" borderId="82" xfId="0" applyFont="1" applyFill="1" applyBorder="1" applyAlignment="1">
      <alignment horizontal="center" vertical="center" wrapText="1"/>
    </xf>
    <xf numFmtId="0" fontId="11" fillId="3" borderId="8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2" fontId="3" fillId="2" borderId="37" xfId="0" applyNumberFormat="1" applyFont="1" applyFill="1" applyBorder="1" applyAlignment="1">
      <alignment horizontal="center" vertical="center" wrapText="1"/>
    </xf>
    <xf numFmtId="2" fontId="3" fillId="2" borderId="38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83" xfId="0" applyNumberFormat="1" applyFont="1" applyFill="1" applyBorder="1" applyAlignment="1">
      <alignment horizontal="center" vertical="center" wrapText="1"/>
    </xf>
    <xf numFmtId="1" fontId="3" fillId="2" borderId="15" xfId="0" applyNumberFormat="1" applyFont="1" applyFill="1" applyBorder="1" applyAlignment="1">
      <alignment horizontal="center" vertical="center" wrapText="1"/>
    </xf>
    <xf numFmtId="1" fontId="3" fillId="2" borderId="83" xfId="0" applyNumberFormat="1" applyFont="1" applyFill="1" applyBorder="1" applyAlignment="1">
      <alignment horizontal="center" vertical="center" wrapText="1"/>
    </xf>
    <xf numFmtId="165" fontId="18" fillId="0" borderId="26" xfId="0" applyNumberFormat="1" applyFont="1" applyBorder="1" applyAlignment="1">
      <alignment horizontal="center"/>
    </xf>
    <xf numFmtId="0" fontId="18" fillId="0" borderId="2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Curva del Sistema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Bomba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Bomba!$B$29:$B$41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11.8</c:v>
                </c:pt>
              </c:numCache>
            </c:numRef>
          </c:xVal>
          <c:yVal>
            <c:numRef>
              <c:f>Bomba!$C$29:$C$41</c:f>
              <c:numCache>
                <c:formatCode>0.00</c:formatCode>
                <c:ptCount val="13"/>
                <c:pt idx="0">
                  <c:v>83.248999999999995</c:v>
                </c:pt>
                <c:pt idx="1">
                  <c:v>82.3673</c:v>
                </c:pt>
                <c:pt idx="2">
                  <c:v>80.34899999999999</c:v>
                </c:pt>
                <c:pt idx="3">
                  <c:v>77.194099999999992</c:v>
                </c:pt>
                <c:pt idx="4">
                  <c:v>72.902599999999993</c:v>
                </c:pt>
                <c:pt idx="5">
                  <c:v>67.474499999999992</c:v>
                </c:pt>
                <c:pt idx="6">
                  <c:v>60.90979999999999</c:v>
                </c:pt>
                <c:pt idx="7">
                  <c:v>53.208499999999994</c:v>
                </c:pt>
                <c:pt idx="8">
                  <c:v>44.370599999999996</c:v>
                </c:pt>
                <c:pt idx="9">
                  <c:v>34.396099999999997</c:v>
                </c:pt>
                <c:pt idx="10">
                  <c:v>23.284999999999989</c:v>
                </c:pt>
                <c:pt idx="11">
                  <c:v>11.037299999999988</c:v>
                </c:pt>
                <c:pt idx="12">
                  <c:v>0.42078799999998751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FB-4A65-A3B1-7055AB5E0A4F}"/>
            </c:ext>
          </c:extLst>
        </c:ser>
        <c:ser>
          <c:idx val="1"/>
          <c:order val="1"/>
          <c:tx>
            <c:v>Sistema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Bomba!$D$29:$D$50</c:f>
              <c:numCache>
                <c:formatCode>0.00</c:formatCode>
                <c:ptCount val="22"/>
                <c:pt idx="0" formatCode="0.0">
                  <c:v>0.5</c:v>
                </c:pt>
                <c:pt idx="1">
                  <c:v>0.57999999999999996</c:v>
                </c:pt>
                <c:pt idx="2" formatCode="0.0">
                  <c:v>1</c:v>
                </c:pt>
                <c:pt idx="3" formatCode="0.0">
                  <c:v>1.5</c:v>
                </c:pt>
                <c:pt idx="4" formatCode="0.0">
                  <c:v>2</c:v>
                </c:pt>
                <c:pt idx="5" formatCode="0.0">
                  <c:v>2.5</c:v>
                </c:pt>
                <c:pt idx="6" formatCode="0.0">
                  <c:v>3</c:v>
                </c:pt>
                <c:pt idx="7" formatCode="0.0">
                  <c:v>3.5</c:v>
                </c:pt>
                <c:pt idx="8" formatCode="0.0">
                  <c:v>4</c:v>
                </c:pt>
                <c:pt idx="9" formatCode="0.0">
                  <c:v>4.5000000000000009</c:v>
                </c:pt>
                <c:pt idx="10" formatCode="0.0">
                  <c:v>5</c:v>
                </c:pt>
                <c:pt idx="11" formatCode="0.0">
                  <c:v>5.5</c:v>
                </c:pt>
                <c:pt idx="12" formatCode="0.0">
                  <c:v>6</c:v>
                </c:pt>
                <c:pt idx="13" formatCode="0.0">
                  <c:v>6.5000000000000009</c:v>
                </c:pt>
                <c:pt idx="14" formatCode="0.0">
                  <c:v>7</c:v>
                </c:pt>
                <c:pt idx="15" formatCode="0.0">
                  <c:v>7.5</c:v>
                </c:pt>
                <c:pt idx="16" formatCode="0.0">
                  <c:v>8</c:v>
                </c:pt>
                <c:pt idx="17" formatCode="0.0">
                  <c:v>8.5</c:v>
                </c:pt>
                <c:pt idx="18" formatCode="0.0">
                  <c:v>9.0000000000000018</c:v>
                </c:pt>
                <c:pt idx="19" formatCode="0.0">
                  <c:v>9.5</c:v>
                </c:pt>
                <c:pt idx="20" formatCode="0.0">
                  <c:v>10</c:v>
                </c:pt>
                <c:pt idx="21" formatCode="0.0">
                  <c:v>10.5</c:v>
                </c:pt>
              </c:numCache>
            </c:numRef>
          </c:xVal>
          <c:yVal>
            <c:numRef>
              <c:f>Bomba!$E$29:$E$50</c:f>
              <c:numCache>
                <c:formatCode>0.000</c:formatCode>
                <c:ptCount val="22"/>
                <c:pt idx="0">
                  <c:v>40.713827718095324</c:v>
                </c:pt>
                <c:pt idx="1">
                  <c:v>40.746690065152642</c:v>
                </c:pt>
                <c:pt idx="2">
                  <c:v>40.985019149205705</c:v>
                </c:pt>
                <c:pt idx="3">
                  <c:v>41.404921260071482</c:v>
                </c:pt>
                <c:pt idx="4">
                  <c:v>41.964638294519816</c:v>
                </c:pt>
                <c:pt idx="5">
                  <c:v>42.658292615370414</c:v>
                </c:pt>
                <c:pt idx="6">
                  <c:v>43.481526846027784</c:v>
                </c:pt>
                <c:pt idx="7">
                  <c:v>44.430898501123785</c:v>
                </c:pt>
                <c:pt idx="8">
                  <c:v>45.503574395598385</c:v>
                </c:pt>
                <c:pt idx="9">
                  <c:v>46.697155074681952</c:v>
                </c:pt>
                <c:pt idx="10">
                  <c:v>48.009564834669362</c:v>
                </c:pt>
                <c:pt idx="11">
                  <c:v>49.438978394970349</c:v>
                </c:pt>
                <c:pt idx="12">
                  <c:v>50.983769636272925</c:v>
                </c:pt>
                <c:pt idx="13">
                  <c:v>52.642474404289928</c:v>
                </c:pt>
                <c:pt idx="14">
                  <c:v>54.413762694296423</c:v>
                </c:pt>
                <c:pt idx="15">
                  <c:v>56.296417326588326</c:v>
                </c:pt>
                <c:pt idx="16">
                  <c:v>58.289317252652765</c:v>
                </c:pt>
                <c:pt idx="17">
                  <c:v>60.391424251325262</c:v>
                </c:pt>
                <c:pt idx="18">
                  <c:v>62.601772162087478</c:v>
                </c:pt>
                <c:pt idx="19">
                  <c:v>64.919458053909651</c:v>
                </c:pt>
                <c:pt idx="20">
                  <c:v>67.343634895620625</c:v>
                </c:pt>
                <c:pt idx="21">
                  <c:v>69.873505408450029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FB-4A65-A3B1-7055AB5E0A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6559104"/>
        <c:axId val="332187296"/>
      </c:scatterChart>
      <c:valAx>
        <c:axId val="386559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Caudal (l/s)</a:t>
                </a:r>
              </a:p>
            </c:rich>
          </c:tx>
          <c:layout>
            <c:manualLayout>
              <c:xMode val="edge"/>
              <c:yMode val="edge"/>
              <c:x val="0.43177475111848029"/>
              <c:y val="0.925163665326978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2187296"/>
        <c:crosses val="autoZero"/>
        <c:crossBetween val="midCat"/>
      </c:valAx>
      <c:valAx>
        <c:axId val="33218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Altura Dinámica Total</a:t>
                </a:r>
                <a:r>
                  <a:rPr lang="es-CO" baseline="0"/>
                  <a:t> (m)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6559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5</xdr:row>
      <xdr:rowOff>7620</xdr:rowOff>
    </xdr:from>
    <xdr:to>
      <xdr:col>5</xdr:col>
      <xdr:colOff>0</xdr:colOff>
      <xdr:row>9</xdr:row>
      <xdr:rowOff>7620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CxnSpPr/>
      </xdr:nvCxnSpPr>
      <xdr:spPr>
        <a:xfrm>
          <a:off x="2474595" y="1503045"/>
          <a:ext cx="1954530" cy="1628775"/>
        </a:xfrm>
        <a:prstGeom prst="line">
          <a:avLst/>
        </a:prstGeom>
        <a:ln>
          <a:solidFill>
            <a:srgbClr val="00B0F0"/>
          </a:solidFill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5</xdr:row>
      <xdr:rowOff>0</xdr:rowOff>
    </xdr:from>
    <xdr:to>
      <xdr:col>5</xdr:col>
      <xdr:colOff>7620</xdr:colOff>
      <xdr:row>8</xdr:row>
      <xdr:rowOff>0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/>
      </xdr:nvCxnSpPr>
      <xdr:spPr>
        <a:xfrm>
          <a:off x="2466975" y="1495425"/>
          <a:ext cx="1969770" cy="1095375"/>
        </a:xfrm>
        <a:prstGeom prst="line">
          <a:avLst/>
        </a:prstGeom>
        <a:ln>
          <a:solidFill>
            <a:srgbClr val="00B0F0"/>
          </a:solidFill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7</xdr:row>
      <xdr:rowOff>160020</xdr:rowOff>
    </xdr:from>
    <xdr:to>
      <xdr:col>5</xdr:col>
      <xdr:colOff>7620</xdr:colOff>
      <xdr:row>8</xdr:row>
      <xdr:rowOff>533400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 flipH="1" flipV="1">
          <a:off x="4429125" y="2579370"/>
          <a:ext cx="7620" cy="54483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2</xdr:col>
      <xdr:colOff>480060</xdr:colOff>
      <xdr:row>15</xdr:row>
      <xdr:rowOff>270510</xdr:rowOff>
    </xdr:from>
    <xdr:ext cx="914400" cy="4238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4 CuadroTexto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SpPr txBox="1"/>
          </xdr:nvSpPr>
          <xdr:spPr>
            <a:xfrm>
              <a:off x="1346835" y="4556760"/>
              <a:ext cx="914400" cy="4238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/>
                      </a:rPr>
                      <m:t>𝐽</m:t>
                    </m:r>
                    <m:r>
                      <a:rPr lang="es-ES" sz="1100" b="0" i="1">
                        <a:latin typeface="Cambria Math"/>
                      </a:rPr>
                      <m:t>= </m:t>
                    </m:r>
                    <m:f>
                      <m:fPr>
                        <m:ctrlPr>
                          <a:rPr lang="es-E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/>
                          </a:rPr>
                          <m:t>𝐻</m:t>
                        </m:r>
                      </m:num>
                      <m:den>
                        <m:r>
                          <a:rPr lang="es-ES" sz="1100" b="0" i="1">
                            <a:latin typeface="Cambria Math"/>
                          </a:rPr>
                          <m:t>𝐿</m:t>
                        </m:r>
                      </m:den>
                    </m:f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" name="4 CuadroTexto"/>
            <xdr:cNvSpPr txBox="1"/>
          </xdr:nvSpPr>
          <xdr:spPr>
            <a:xfrm>
              <a:off x="1346835" y="4556760"/>
              <a:ext cx="914400" cy="4238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:r>
                <a:rPr lang="es-ES" sz="1100" b="0" i="0">
                  <a:latin typeface="Cambria Math"/>
                </a:rPr>
                <a:t>𝐽=  𝐻/𝐿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472440</xdr:colOff>
      <xdr:row>19</xdr:row>
      <xdr:rowOff>163830</xdr:rowOff>
    </xdr:from>
    <xdr:ext cx="2240280" cy="43588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5 CuadroTexto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SpPr txBox="1"/>
          </xdr:nvSpPr>
          <xdr:spPr>
            <a:xfrm>
              <a:off x="1339215" y="5707380"/>
              <a:ext cx="2240280" cy="4358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/>
                      </a:rPr>
                      <m:t>𝐷</m:t>
                    </m:r>
                    <m:r>
                      <a:rPr lang="es-ES" sz="1100" b="0" i="1">
                        <a:latin typeface="Cambria Math"/>
                      </a:rPr>
                      <m:t>= </m:t>
                    </m:r>
                    <m:sSup>
                      <m:sSup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S" sz="1100" b="0" i="1">
                            <a:latin typeface="Cambria Math"/>
                          </a:rPr>
                          <m:t>(</m:t>
                        </m:r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/>
                              </a:rPr>
                              <m:t>𝑄</m:t>
                            </m:r>
                          </m:num>
                          <m:den>
                            <m:r>
                              <a:rPr lang="es-ES" sz="1100" b="0" i="1">
                                <a:latin typeface="Cambria Math"/>
                              </a:rPr>
                              <m:t>0.2785∗</m:t>
                            </m:r>
                            <m:sSup>
                              <m:sSup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sz="1100" b="0" i="1">
                                    <a:latin typeface="Cambria Math"/>
                                  </a:rPr>
                                  <m:t>𝐽</m:t>
                                </m:r>
                              </m:e>
                              <m:sup>
                                <m:r>
                                  <a:rPr lang="es-ES" sz="1100" b="0" i="1">
                                    <a:latin typeface="Cambria Math"/>
                                  </a:rPr>
                                  <m:t>0.54</m:t>
                                </m:r>
                              </m:sup>
                            </m:sSup>
                            <m:r>
                              <a:rPr lang="es-ES" sz="1100" b="0" i="1">
                                <a:latin typeface="Cambria Math"/>
                              </a:rPr>
                              <m:t>∗</m:t>
                            </m:r>
                            <m:r>
                              <a:rPr lang="es-ES" sz="1100" b="0" i="1">
                                <a:latin typeface="Cambria Math"/>
                              </a:rPr>
                              <m:t>𝐶</m:t>
                            </m:r>
                          </m:den>
                        </m:f>
                        <m:r>
                          <a:rPr lang="es-ES" sz="1100" b="0" i="1">
                            <a:latin typeface="Cambria Math"/>
                          </a:rPr>
                          <m:t>)</m:t>
                        </m:r>
                      </m:e>
                      <m:sup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/>
                              </a:rPr>
                              <m:t>1</m:t>
                            </m:r>
                          </m:num>
                          <m:den>
                            <m:r>
                              <a:rPr lang="es-ES" sz="1100" b="0" i="1">
                                <a:latin typeface="Cambria Math"/>
                              </a:rPr>
                              <m:t>2.63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6" name="5 CuadroTexto"/>
            <xdr:cNvSpPr txBox="1"/>
          </xdr:nvSpPr>
          <xdr:spPr>
            <a:xfrm>
              <a:off x="1339215" y="5707380"/>
              <a:ext cx="2240280" cy="4358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latin typeface="Cambria Math"/>
                </a:rPr>
                <a:t>𝐷= 〖(𝑄/(0.2785∗𝐽^0.54∗𝐶))〗^(1/2.63)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320040</xdr:colOff>
      <xdr:row>29</xdr:row>
      <xdr:rowOff>11430</xdr:rowOff>
    </xdr:from>
    <xdr:ext cx="2491740" cy="410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6 CuadroTexto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SpPr txBox="1"/>
          </xdr:nvSpPr>
          <xdr:spPr>
            <a:xfrm>
              <a:off x="701040" y="7831455"/>
              <a:ext cx="2491740" cy="410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/>
                      </a:rPr>
                      <m:t>𝐽</m:t>
                    </m:r>
                    <m:r>
                      <a:rPr lang="es-ES" sz="1100" b="0" i="1">
                        <a:latin typeface="Cambria Math"/>
                      </a:rPr>
                      <m:t>= </m:t>
                    </m:r>
                    <m:sSup>
                      <m:sSup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S" sz="1100" b="0" i="1">
                            <a:latin typeface="Cambria Math"/>
                          </a:rPr>
                          <m:t>(</m:t>
                        </m:r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/>
                              </a:rPr>
                              <m:t>𝑄</m:t>
                            </m:r>
                          </m:num>
                          <m:den>
                            <m:r>
                              <a:rPr lang="es-ES" sz="1100" b="0" i="1">
                                <a:latin typeface="Cambria Math"/>
                              </a:rPr>
                              <m:t>0.2785∗</m:t>
                            </m:r>
                            <m:sSup>
                              <m:sSup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sz="1100" b="0" i="1">
                                    <a:latin typeface="Cambria Math"/>
                                  </a:rPr>
                                  <m:t>𝐷</m:t>
                                </m:r>
                              </m:e>
                              <m:sup>
                                <m:r>
                                  <a:rPr lang="es-ES" sz="1100" b="0" i="1">
                                    <a:latin typeface="Cambria Math"/>
                                  </a:rPr>
                                  <m:t>2.63</m:t>
                                </m:r>
                              </m:sup>
                            </m:sSup>
                            <m:r>
                              <a:rPr lang="es-ES" sz="1100" b="0" i="1">
                                <a:latin typeface="Cambria Math"/>
                              </a:rPr>
                              <m:t>∗</m:t>
                            </m:r>
                            <m:r>
                              <a:rPr lang="es-ES" sz="1100" b="0" i="1">
                                <a:latin typeface="Cambria Math"/>
                              </a:rPr>
                              <m:t>𝐶</m:t>
                            </m:r>
                          </m:den>
                        </m:f>
                        <m:r>
                          <a:rPr lang="es-ES" sz="1100" b="0" i="1">
                            <a:latin typeface="Cambria Math"/>
                          </a:rPr>
                          <m:t>)</m:t>
                        </m:r>
                      </m:e>
                      <m:sup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/>
                              </a:rPr>
                              <m:t>1</m:t>
                            </m:r>
                          </m:num>
                          <m:den>
                            <m:r>
                              <a:rPr lang="es-ES" sz="1100" b="0" i="1">
                                <a:latin typeface="Cambria Math"/>
                              </a:rPr>
                              <m:t>0.54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7" name="6 CuadroTexto"/>
            <xdr:cNvSpPr txBox="1"/>
          </xdr:nvSpPr>
          <xdr:spPr>
            <a:xfrm>
              <a:off x="701040" y="7831455"/>
              <a:ext cx="2491740" cy="410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latin typeface="Cambria Math"/>
                </a:rPr>
                <a:t>𝐽= 〖(𝑄/(0.2785∗𝐷^2.63∗𝐶))〗^(1/0.54)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114300</xdr:colOff>
      <xdr:row>33</xdr:row>
      <xdr:rowOff>289560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7 CuadroTexto">
              <a:extLst>
                <a:ext uri="{FF2B5EF4-FFF2-40B4-BE49-F238E27FC236}">
                  <a16:creationId xmlns:a16="http://schemas.microsoft.com/office/drawing/2014/main" id="{00000000-0008-0000-0200-000008000000}"/>
                </a:ext>
              </a:extLst>
            </xdr:cNvPr>
            <xdr:cNvSpPr txBox="1"/>
          </xdr:nvSpPr>
          <xdr:spPr>
            <a:xfrm>
              <a:off x="981075" y="956691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/>
                      </a:rPr>
                      <m:t>𝐻</m:t>
                    </m:r>
                    <m:r>
                      <a:rPr lang="es-ES" sz="1100" b="0" i="1">
                        <a:latin typeface="Cambria Math"/>
                      </a:rPr>
                      <m:t>=</m:t>
                    </m:r>
                    <m:r>
                      <a:rPr lang="es-ES" sz="1100" b="0" i="1">
                        <a:latin typeface="Cambria Math"/>
                      </a:rPr>
                      <m:t>𝐽</m:t>
                    </m:r>
                    <m:r>
                      <a:rPr lang="es-ES" sz="1100" b="0" i="1">
                        <a:latin typeface="Cambria Math"/>
                      </a:rPr>
                      <m:t>2∗</m:t>
                    </m:r>
                    <m:r>
                      <a:rPr lang="es-ES" sz="1100" b="0" i="1">
                        <a:latin typeface="Cambria Math"/>
                      </a:rPr>
                      <m:t>𝐿</m:t>
                    </m:r>
                    <m:r>
                      <a:rPr lang="es-ES" sz="1100" b="0" i="1">
                        <a:latin typeface="Cambria Math"/>
                      </a:rPr>
                      <m:t> 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8" name="7 CuadroTexto"/>
            <xdr:cNvSpPr txBox="1"/>
          </xdr:nvSpPr>
          <xdr:spPr>
            <a:xfrm>
              <a:off x="981075" y="956691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:r>
                <a:rPr lang="es-ES" sz="1100" b="0" i="0">
                  <a:latin typeface="Cambria Math"/>
                </a:rPr>
                <a:t>𝐻=𝐽2∗𝐿 </a:t>
              </a:r>
              <a:endParaRPr lang="es-ES" sz="1100"/>
            </a:p>
          </xdr:txBody>
        </xdr:sp>
      </mc:Fallback>
    </mc:AlternateContent>
    <xdr:clientData/>
  </xdr:oneCellAnchor>
  <xdr:twoCellAnchor>
    <xdr:from>
      <xdr:col>4</xdr:col>
      <xdr:colOff>7620</xdr:colOff>
      <xdr:row>40</xdr:row>
      <xdr:rowOff>7620</xdr:rowOff>
    </xdr:from>
    <xdr:to>
      <xdr:col>5</xdr:col>
      <xdr:colOff>0</xdr:colOff>
      <xdr:row>44</xdr:row>
      <xdr:rowOff>7620</xdr:rowOff>
    </xdr:to>
    <xdr:cxnSp macro="">
      <xdr:nvCxnSpPr>
        <xdr:cNvPr id="9" name="8 Conector recto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2474595" y="11656695"/>
          <a:ext cx="1954530" cy="1933575"/>
        </a:xfrm>
        <a:prstGeom prst="line">
          <a:avLst/>
        </a:prstGeom>
        <a:ln>
          <a:solidFill>
            <a:srgbClr val="00B0F0"/>
          </a:solidFill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2011680</xdr:colOff>
      <xdr:row>42</xdr:row>
      <xdr:rowOff>137160</xdr:rowOff>
    </xdr:to>
    <xdr:cxnSp macro="">
      <xdr:nvCxnSpPr>
        <xdr:cNvPr id="10" name="9 Conector recto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2466975" y="11649075"/>
          <a:ext cx="1964055" cy="832485"/>
        </a:xfrm>
        <a:prstGeom prst="line">
          <a:avLst/>
        </a:prstGeom>
        <a:ln>
          <a:solidFill>
            <a:srgbClr val="00B0F0"/>
          </a:solidFill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42</xdr:row>
      <xdr:rowOff>129540</xdr:rowOff>
    </xdr:from>
    <xdr:to>
      <xdr:col>5</xdr:col>
      <xdr:colOff>7620</xdr:colOff>
      <xdr:row>43</xdr:row>
      <xdr:rowOff>617220</xdr:rowOff>
    </xdr:to>
    <xdr:cxnSp macro="">
      <xdr:nvCxnSpPr>
        <xdr:cNvPr id="11" name="10 Conector recto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 flipH="1" flipV="1">
          <a:off x="4429125" y="12473940"/>
          <a:ext cx="7620" cy="1106805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281940</xdr:colOff>
      <xdr:row>6</xdr:row>
      <xdr:rowOff>179070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1 CuadroTexto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1417320" y="232029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/>
                      </a:rPr>
                      <m:t> </m:t>
                    </m:r>
                    <m:r>
                      <a:rPr lang="es-ES" sz="1100" b="0" i="1">
                        <a:latin typeface="Cambria Math"/>
                      </a:rPr>
                      <m:t>𝑄</m:t>
                    </m:r>
                    <m:r>
                      <a:rPr lang="es-ES" sz="1100" b="0" i="1">
                        <a:latin typeface="Cambria Math"/>
                      </a:rPr>
                      <m:t> (0.50)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2" name="1 CuadroTexto"/>
            <xdr:cNvSpPr txBox="1"/>
          </xdr:nvSpPr>
          <xdr:spPr>
            <a:xfrm>
              <a:off x="1417320" y="232029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:r>
                <a:rPr lang="es-ES" sz="1100" b="0" i="0">
                  <a:latin typeface="Cambria Math"/>
                </a:rPr>
                <a:t> 𝑄 (0.50)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106680</xdr:colOff>
      <xdr:row>7</xdr:row>
      <xdr:rowOff>152400</xdr:rowOff>
    </xdr:from>
    <xdr:ext cx="1226820" cy="27642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6 CuadroTexto">
              <a:extLst>
                <a:ext uri="{FF2B5EF4-FFF2-40B4-BE49-F238E27FC236}">
                  <a16:creationId xmlns:a16="http://schemas.microsoft.com/office/drawing/2014/main" id="{00000000-0008-0000-0600-000007000000}"/>
                </a:ext>
              </a:extLst>
            </xdr:cNvPr>
            <xdr:cNvSpPr txBox="1"/>
          </xdr:nvSpPr>
          <xdr:spPr>
            <a:xfrm>
              <a:off x="1226820" y="2948940"/>
              <a:ext cx="1226820" cy="2764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1−2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7" name="6 CuadroTexto"/>
            <xdr:cNvSpPr txBox="1"/>
          </xdr:nvSpPr>
          <xdr:spPr>
            <a:xfrm>
              <a:off x="1226820" y="2948940"/>
              <a:ext cx="1226820" cy="2764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𝑄_(1−2)−𝑄_(𝑛_2 )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137160</xdr:colOff>
      <xdr:row>7</xdr:row>
      <xdr:rowOff>152400</xdr:rowOff>
    </xdr:from>
    <xdr:ext cx="153162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7 CuadroTexto">
              <a:extLst>
                <a:ext uri="{FF2B5EF4-FFF2-40B4-BE49-F238E27FC236}">
                  <a16:creationId xmlns:a16="http://schemas.microsoft.com/office/drawing/2014/main" id="{00000000-0008-0000-0600-000008000000}"/>
                </a:ext>
              </a:extLst>
            </xdr:cNvPr>
            <xdr:cNvSpPr txBox="1"/>
          </xdr:nvSpPr>
          <xdr:spPr>
            <a:xfrm>
              <a:off x="2697480" y="2926080"/>
              <a:ext cx="153162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0.22−0.01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7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8" name="7 CuadroTexto"/>
            <xdr:cNvSpPr txBox="1"/>
          </xdr:nvSpPr>
          <xdr:spPr>
            <a:xfrm>
              <a:off x="2697480" y="2926080"/>
              <a:ext cx="153162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0.22−0.01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53340</xdr:colOff>
      <xdr:row>8</xdr:row>
      <xdr:rowOff>182880</xdr:rowOff>
    </xdr:from>
    <xdr:ext cx="1356360" cy="27719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8 CuadroTexto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:cNvPr>
            <xdr:cNvSpPr txBox="1"/>
          </xdr:nvSpPr>
          <xdr:spPr>
            <a:xfrm>
              <a:off x="1188720" y="3589020"/>
              <a:ext cx="1356360" cy="2771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2−3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9" name="8 CuadroTexto"/>
            <xdr:cNvSpPr txBox="1"/>
          </xdr:nvSpPr>
          <xdr:spPr>
            <a:xfrm>
              <a:off x="1188720" y="3589020"/>
              <a:ext cx="1356360" cy="2771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𝑄_(2−3)−𝑄_(𝑛_3 )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312420</xdr:colOff>
      <xdr:row>11</xdr:row>
      <xdr:rowOff>160020</xdr:rowOff>
    </xdr:from>
    <xdr:ext cx="914400" cy="2773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12 CuadroTexto"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</a:extLst>
            </xdr:cNvPr>
            <xdr:cNvSpPr txBox="1"/>
          </xdr:nvSpPr>
          <xdr:spPr>
            <a:xfrm>
              <a:off x="1432560" y="5486400"/>
              <a:ext cx="91440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5−6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6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13" name="12 CuadroTexto"/>
            <xdr:cNvSpPr txBox="1"/>
          </xdr:nvSpPr>
          <xdr:spPr>
            <a:xfrm>
              <a:off x="1432560" y="5486400"/>
              <a:ext cx="91440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𝑄_(5−6)−𝑄_(𝑛_6 )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266700</xdr:colOff>
      <xdr:row>11</xdr:row>
      <xdr:rowOff>205740</xdr:rowOff>
    </xdr:from>
    <xdr:ext cx="131826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13 CuadroTexto"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 txBox="1"/>
          </xdr:nvSpPr>
          <xdr:spPr>
            <a:xfrm>
              <a:off x="2827020" y="5509260"/>
              <a:ext cx="131826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0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0.1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5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−0.01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14" name="13 CuadroTexto"/>
            <xdr:cNvSpPr txBox="1"/>
          </xdr:nvSpPr>
          <xdr:spPr>
            <a:xfrm>
              <a:off x="2827020" y="5509260"/>
              <a:ext cx="131826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−0.01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0</xdr:colOff>
      <xdr:row>12</xdr:row>
      <xdr:rowOff>198120</xdr:rowOff>
    </xdr:from>
    <xdr:ext cx="1424940" cy="2773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14 CuadroTexto">
              <a:extLst>
                <a:ext uri="{FF2B5EF4-FFF2-40B4-BE49-F238E27FC236}">
                  <a16:creationId xmlns:a16="http://schemas.microsoft.com/office/drawing/2014/main" id="{00000000-0008-0000-0600-00000F000000}"/>
                </a:ext>
              </a:extLst>
            </xdr:cNvPr>
            <xdr:cNvSpPr txBox="1"/>
          </xdr:nvSpPr>
          <xdr:spPr>
            <a:xfrm>
              <a:off x="1120140" y="6156960"/>
              <a:ext cx="142494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6−7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7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15" name="14 CuadroTexto"/>
            <xdr:cNvSpPr txBox="1"/>
          </xdr:nvSpPr>
          <xdr:spPr>
            <a:xfrm>
              <a:off x="1120140" y="6156960"/>
              <a:ext cx="142494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𝑄_(6−7)−𝑄_(𝑛_7 )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99060</xdr:colOff>
      <xdr:row>12</xdr:row>
      <xdr:rowOff>198120</xdr:rowOff>
    </xdr:from>
    <xdr:ext cx="165354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15 CuadroTexto">
              <a:extLst>
                <a:ext uri="{FF2B5EF4-FFF2-40B4-BE49-F238E27FC236}">
                  <a16:creationId xmlns:a16="http://schemas.microsoft.com/office/drawing/2014/main" id="{00000000-0008-0000-0600-000010000000}"/>
                </a:ext>
              </a:extLst>
            </xdr:cNvPr>
            <xdr:cNvSpPr txBox="1"/>
          </xdr:nvSpPr>
          <xdr:spPr>
            <a:xfrm>
              <a:off x="2659380" y="6134100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0.1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4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−0.0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06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16" name="15 CuadroTexto"/>
            <xdr:cNvSpPr txBox="1"/>
          </xdr:nvSpPr>
          <xdr:spPr>
            <a:xfrm>
              <a:off x="2659380" y="6134100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−0.0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06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91440</xdr:colOff>
      <xdr:row>21</xdr:row>
      <xdr:rowOff>182880</xdr:rowOff>
    </xdr:from>
    <xdr:ext cx="1249680" cy="2773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21 CuadroTexto">
              <a:extLst>
                <a:ext uri="{FF2B5EF4-FFF2-40B4-BE49-F238E27FC236}">
                  <a16:creationId xmlns:a16="http://schemas.microsoft.com/office/drawing/2014/main" id="{00000000-0008-0000-0600-000016000000}"/>
                </a:ext>
              </a:extLst>
            </xdr:cNvPr>
            <xdr:cNvSpPr txBox="1"/>
          </xdr:nvSpPr>
          <xdr:spPr>
            <a:xfrm>
              <a:off x="1186815" y="11755755"/>
              <a:ext cx="124968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6−13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22" name="21 CuadroTexto"/>
            <xdr:cNvSpPr txBox="1"/>
          </xdr:nvSpPr>
          <xdr:spPr>
            <a:xfrm>
              <a:off x="1186815" y="11755755"/>
              <a:ext cx="124968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6−13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𝑛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213360</xdr:colOff>
      <xdr:row>21</xdr:row>
      <xdr:rowOff>198120</xdr:rowOff>
    </xdr:from>
    <xdr:ext cx="15240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22 CuadroTexto">
              <a:extLst>
                <a:ext uri="{FF2B5EF4-FFF2-40B4-BE49-F238E27FC236}">
                  <a16:creationId xmlns:a16="http://schemas.microsoft.com/office/drawing/2014/main" id="{00000000-0008-0000-0600-000017000000}"/>
                </a:ext>
              </a:extLst>
            </xdr:cNvPr>
            <xdr:cNvSpPr txBox="1"/>
          </xdr:nvSpPr>
          <xdr:spPr>
            <a:xfrm>
              <a:off x="2689860" y="11770995"/>
              <a:ext cx="15240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0,10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−0.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037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23" name="22 CuadroTexto"/>
            <xdr:cNvSpPr txBox="1"/>
          </xdr:nvSpPr>
          <xdr:spPr>
            <a:xfrm>
              <a:off x="2689860" y="11770995"/>
              <a:ext cx="15240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0,10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037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45720</xdr:colOff>
      <xdr:row>8</xdr:row>
      <xdr:rowOff>182880</xdr:rowOff>
    </xdr:from>
    <xdr:ext cx="162306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23 CuadroTexto">
              <a:extLst>
                <a:ext uri="{FF2B5EF4-FFF2-40B4-BE49-F238E27FC236}">
                  <a16:creationId xmlns:a16="http://schemas.microsoft.com/office/drawing/2014/main" id="{00000000-0008-0000-0600-000018000000}"/>
                </a:ext>
              </a:extLst>
            </xdr:cNvPr>
            <xdr:cNvSpPr txBox="1"/>
          </xdr:nvSpPr>
          <xdr:spPr>
            <a:xfrm>
              <a:off x="2606040" y="3589020"/>
              <a:ext cx="162306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0.2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−0.0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5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24" name="23 CuadroTexto"/>
            <xdr:cNvSpPr txBox="1"/>
          </xdr:nvSpPr>
          <xdr:spPr>
            <a:xfrm>
              <a:off x="2606040" y="3589020"/>
              <a:ext cx="162306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0.2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−0.0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5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45720</xdr:colOff>
      <xdr:row>9</xdr:row>
      <xdr:rowOff>190500</xdr:rowOff>
    </xdr:from>
    <xdr:ext cx="1356360" cy="28321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24 CuadroTexto">
              <a:extLst>
                <a:ext uri="{FF2B5EF4-FFF2-40B4-BE49-F238E27FC236}">
                  <a16:creationId xmlns:a16="http://schemas.microsoft.com/office/drawing/2014/main" id="{00000000-0008-0000-0600-000019000000}"/>
                </a:ext>
              </a:extLst>
            </xdr:cNvPr>
            <xdr:cNvSpPr txBox="1"/>
          </xdr:nvSpPr>
          <xdr:spPr>
            <a:xfrm>
              <a:off x="1165860" y="4251960"/>
              <a:ext cx="1356360" cy="2832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3−4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25" name="24 CuadroTexto"/>
            <xdr:cNvSpPr txBox="1"/>
          </xdr:nvSpPr>
          <xdr:spPr>
            <a:xfrm>
              <a:off x="1165860" y="4251960"/>
              <a:ext cx="1356360" cy="2832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𝑄_(3−4)−𝑄_(𝑛_4 )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152400</xdr:colOff>
      <xdr:row>9</xdr:row>
      <xdr:rowOff>190500</xdr:rowOff>
    </xdr:from>
    <xdr:ext cx="15240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25 CuadroTexto">
              <a:extLst>
                <a:ext uri="{FF2B5EF4-FFF2-40B4-BE49-F238E27FC236}">
                  <a16:creationId xmlns:a16="http://schemas.microsoft.com/office/drawing/2014/main" id="{00000000-0008-0000-0600-00001A000000}"/>
                </a:ext>
              </a:extLst>
            </xdr:cNvPr>
            <xdr:cNvSpPr txBox="1"/>
          </xdr:nvSpPr>
          <xdr:spPr>
            <a:xfrm>
              <a:off x="2628900" y="4219575"/>
              <a:ext cx="15240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0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0. </m:t>
                    </m:r>
                    <m:r>
                      <a:rPr lang="es-CO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18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−0.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019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26" name="25 CuadroTexto"/>
            <xdr:cNvSpPr txBox="1"/>
          </xdr:nvSpPr>
          <xdr:spPr>
            <a:xfrm>
              <a:off x="2628900" y="4219575"/>
              <a:ext cx="15240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18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019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38100</xdr:colOff>
      <xdr:row>20</xdr:row>
      <xdr:rowOff>205740</xdr:rowOff>
    </xdr:from>
    <xdr:ext cx="1356360" cy="2773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27 CuadroTexto">
              <a:extLst>
                <a:ext uri="{FF2B5EF4-FFF2-40B4-BE49-F238E27FC236}">
                  <a16:creationId xmlns:a16="http://schemas.microsoft.com/office/drawing/2014/main" id="{00000000-0008-0000-0600-00001C000000}"/>
                </a:ext>
              </a:extLst>
            </xdr:cNvPr>
            <xdr:cNvSpPr txBox="1"/>
          </xdr:nvSpPr>
          <xdr:spPr>
            <a:xfrm>
              <a:off x="1158240" y="7429500"/>
              <a:ext cx="1356360" cy="2773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lang="es-ES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𝑄</m:t>
                      </m:r>
                    </m:e>
                    <m:sub>
                      <m: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1</m:t>
                      </m:r>
                      <m:r>
                        <a:rPr lang="es-CO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  <m: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−1</m:t>
                      </m:r>
                      <m:r>
                        <a:rPr lang="es-CO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6</m:t>
                      </m:r>
                    </m:sub>
                  </m:sSub>
                  <m:r>
                    <a:rPr lang="es-ES" sz="1100" b="0" i="1">
                      <a:solidFill>
                        <a:schemeClr val="tx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−</m:t>
                  </m:r>
                  <m:sSub>
                    <m:sSubPr>
                      <m:ctrlP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𝑄</m:t>
                      </m:r>
                    </m:e>
                    <m:sub>
                      <m:sSub>
                        <m:sSubPr>
                          <m:ctrlPr>
                            <a:rPr lang="es-ES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es-ES" sz="11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𝑛</m:t>
                          </m:r>
                        </m:e>
                        <m:sub>
                          <m:r>
                            <a:rPr lang="es-ES" sz="11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1</m:t>
                          </m:r>
                          <m:r>
                            <a:rPr lang="es-CO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6</m:t>
                          </m:r>
                        </m:sub>
                      </m:sSub>
                    </m:sub>
                  </m:sSub>
                </m:oMath>
              </a14:m>
              <a:r>
                <a:rPr lang="es-ES" sz="1100"/>
                <a:t>* 0,6</a:t>
              </a:r>
            </a:p>
          </xdr:txBody>
        </xdr:sp>
      </mc:Choice>
      <mc:Fallback xmlns="">
        <xdr:sp macro="" textlink="">
          <xdr:nvSpPr>
            <xdr:cNvPr id="28" name="27 CuadroTexto"/>
            <xdr:cNvSpPr txBox="1"/>
          </xdr:nvSpPr>
          <xdr:spPr>
            <a:xfrm>
              <a:off x="1158240" y="7429500"/>
              <a:ext cx="1356360" cy="2773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𝑛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r>
                <a:rPr lang="es-ES" sz="1100"/>
                <a:t>* 0,6</a:t>
              </a:r>
            </a:p>
          </xdr:txBody>
        </xdr:sp>
      </mc:Fallback>
    </mc:AlternateContent>
    <xdr:clientData/>
  </xdr:oneCellAnchor>
  <xdr:oneCellAnchor>
    <xdr:from>
      <xdr:col>3</xdr:col>
      <xdr:colOff>129540</xdr:colOff>
      <xdr:row>20</xdr:row>
      <xdr:rowOff>205740</xdr:rowOff>
    </xdr:from>
    <xdr:ext cx="144018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30 CuadroTexto">
              <a:extLst>
                <a:ext uri="{FF2B5EF4-FFF2-40B4-BE49-F238E27FC236}">
                  <a16:creationId xmlns:a16="http://schemas.microsoft.com/office/drawing/2014/main" id="{00000000-0008-0000-0600-00001F000000}"/>
                </a:ext>
              </a:extLst>
            </xdr:cNvPr>
            <xdr:cNvSpPr txBox="1"/>
          </xdr:nvSpPr>
          <xdr:spPr>
            <a:xfrm>
              <a:off x="2606040" y="11149965"/>
              <a:ext cx="144018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es-ES" sz="1100" b="0" i="1">
                      <a:solidFill>
                        <a:schemeClr val="tx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0.</m:t>
                  </m:r>
                  <m:r>
                    <a:rPr lang="es-CO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17</m:t>
                  </m:r>
                  <m:r>
                    <a:rPr lang="es-ES" sz="1100" b="0" i="1">
                      <a:solidFill>
                        <a:schemeClr val="tx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−0.</m:t>
                  </m:r>
                  <m:r>
                    <a:rPr lang="es-CO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001</m:t>
                  </m:r>
                </m:oMath>
              </a14:m>
              <a:r>
                <a:rPr lang="es-ES" sz="1100"/>
                <a:t> * 0,6</a:t>
              </a:r>
            </a:p>
          </xdr:txBody>
        </xdr:sp>
      </mc:Choice>
      <mc:Fallback xmlns="">
        <xdr:sp macro="" textlink="">
          <xdr:nvSpPr>
            <xdr:cNvPr id="31" name="30 CuadroTexto"/>
            <xdr:cNvSpPr txBox="1"/>
          </xdr:nvSpPr>
          <xdr:spPr>
            <a:xfrm>
              <a:off x="2606040" y="11149965"/>
              <a:ext cx="144018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17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001</a:t>
              </a:r>
              <a:r>
                <a:rPr lang="es-ES" sz="1100"/>
                <a:t> * 0,6</a:t>
              </a:r>
            </a:p>
          </xdr:txBody>
        </xdr:sp>
      </mc:Fallback>
    </mc:AlternateContent>
    <xdr:clientData/>
  </xdr:oneCellAnchor>
  <xdr:oneCellAnchor>
    <xdr:from>
      <xdr:col>3</xdr:col>
      <xdr:colOff>426720</xdr:colOff>
      <xdr:row>6</xdr:row>
      <xdr:rowOff>182880</xdr:rowOff>
    </xdr:from>
    <xdr:ext cx="102108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6" name="35 CuadroTexto">
              <a:extLst>
                <a:ext uri="{FF2B5EF4-FFF2-40B4-BE49-F238E27FC236}">
                  <a16:creationId xmlns:a16="http://schemas.microsoft.com/office/drawing/2014/main" id="{00000000-0008-0000-0600-000024000000}"/>
                </a:ext>
              </a:extLst>
            </xdr:cNvPr>
            <xdr:cNvSpPr txBox="1"/>
          </xdr:nvSpPr>
          <xdr:spPr>
            <a:xfrm>
              <a:off x="2987040" y="2324100"/>
              <a:ext cx="102108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/>
                      </a:rPr>
                      <m:t> 0.43 (0.50)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36" name="35 CuadroTexto"/>
            <xdr:cNvSpPr txBox="1"/>
          </xdr:nvSpPr>
          <xdr:spPr>
            <a:xfrm>
              <a:off x="2987040" y="2324100"/>
              <a:ext cx="102108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latin typeface="Cambria Math"/>
                </a:rPr>
                <a:t> 0.43 (0.50)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22860</xdr:colOff>
      <xdr:row>10</xdr:row>
      <xdr:rowOff>152400</xdr:rowOff>
    </xdr:from>
    <xdr:ext cx="1356360" cy="28321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3" name="42 CuadroTexto">
              <a:extLst>
                <a:ext uri="{FF2B5EF4-FFF2-40B4-BE49-F238E27FC236}">
                  <a16:creationId xmlns:a16="http://schemas.microsoft.com/office/drawing/2014/main" id="{00000000-0008-0000-0600-00002B000000}"/>
                </a:ext>
              </a:extLst>
            </xdr:cNvPr>
            <xdr:cNvSpPr txBox="1"/>
          </xdr:nvSpPr>
          <xdr:spPr>
            <a:xfrm>
              <a:off x="1143000" y="4846320"/>
              <a:ext cx="1356360" cy="2832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4−5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43" name="42 CuadroTexto"/>
            <xdr:cNvSpPr txBox="1"/>
          </xdr:nvSpPr>
          <xdr:spPr>
            <a:xfrm>
              <a:off x="1143000" y="4846320"/>
              <a:ext cx="1356360" cy="2832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𝑄_(4−5)−𝑄_(𝑛_5 )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144780</xdr:colOff>
      <xdr:row>10</xdr:row>
      <xdr:rowOff>160020</xdr:rowOff>
    </xdr:from>
    <xdr:ext cx="15240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4" name="43 CuadroTexto">
              <a:extLst>
                <a:ext uri="{FF2B5EF4-FFF2-40B4-BE49-F238E27FC236}">
                  <a16:creationId xmlns:a16="http://schemas.microsoft.com/office/drawing/2014/main" id="{00000000-0008-0000-0600-00002C000000}"/>
                </a:ext>
              </a:extLst>
            </xdr:cNvPr>
            <xdr:cNvSpPr txBox="1"/>
          </xdr:nvSpPr>
          <xdr:spPr>
            <a:xfrm>
              <a:off x="2682240" y="4853940"/>
              <a:ext cx="15240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0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</m:t>
                    </m:r>
                    <m:r>
                      <a:rPr lang="es-CO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17</m:t>
                    </m:r>
                    <m:r>
                      <a:rPr lang="es-ES" sz="1100" b="0" i="0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 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−0.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016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44" name="43 CuadroTexto"/>
            <xdr:cNvSpPr txBox="1"/>
          </xdr:nvSpPr>
          <xdr:spPr>
            <a:xfrm>
              <a:off x="2682240" y="4853940"/>
              <a:ext cx="15240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17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 −0.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016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676275</xdr:colOff>
      <xdr:row>14</xdr:row>
      <xdr:rowOff>171450</xdr:rowOff>
    </xdr:from>
    <xdr:ext cx="1424940" cy="28321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1" name="40 CuadroTexto">
              <a:extLst>
                <a:ext uri="{FF2B5EF4-FFF2-40B4-BE49-F238E27FC236}">
                  <a16:creationId xmlns:a16="http://schemas.microsoft.com/office/drawing/2014/main" id="{00000000-0008-0000-0600-000029000000}"/>
                </a:ext>
              </a:extLst>
            </xdr:cNvPr>
            <xdr:cNvSpPr txBox="1"/>
          </xdr:nvSpPr>
          <xdr:spPr>
            <a:xfrm>
              <a:off x="1057275" y="7343775"/>
              <a:ext cx="1424940" cy="2832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8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8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41" name="40 CuadroTexto"/>
            <xdr:cNvSpPr txBox="1"/>
          </xdr:nvSpPr>
          <xdr:spPr>
            <a:xfrm>
              <a:off x="1057275" y="7343775"/>
              <a:ext cx="1424940" cy="2832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1−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8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𝑛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38100</xdr:colOff>
      <xdr:row>14</xdr:row>
      <xdr:rowOff>171450</xdr:rowOff>
    </xdr:from>
    <xdr:ext cx="165354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2" name="41 CuadroTexto">
              <a:extLst>
                <a:ext uri="{FF2B5EF4-FFF2-40B4-BE49-F238E27FC236}">
                  <a16:creationId xmlns:a16="http://schemas.microsoft.com/office/drawing/2014/main" id="{00000000-0008-0000-0600-00002A000000}"/>
                </a:ext>
              </a:extLst>
            </xdr:cNvPr>
            <xdr:cNvSpPr txBox="1"/>
          </xdr:nvSpPr>
          <xdr:spPr>
            <a:xfrm>
              <a:off x="2514600" y="734377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22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0,003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42" name="41 CuadroTexto"/>
            <xdr:cNvSpPr txBox="1"/>
          </xdr:nvSpPr>
          <xdr:spPr>
            <a:xfrm>
              <a:off x="2514600" y="734377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22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0,003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9525</xdr:colOff>
      <xdr:row>15</xdr:row>
      <xdr:rowOff>161925</xdr:rowOff>
    </xdr:from>
    <xdr:ext cx="1424940" cy="28321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8" name="47 CuadroTexto">
              <a:extLst>
                <a:ext uri="{FF2B5EF4-FFF2-40B4-BE49-F238E27FC236}">
                  <a16:creationId xmlns:a16="http://schemas.microsoft.com/office/drawing/2014/main" id="{00000000-0008-0000-0600-000030000000}"/>
                </a:ext>
              </a:extLst>
            </xdr:cNvPr>
            <xdr:cNvSpPr txBox="1"/>
          </xdr:nvSpPr>
          <xdr:spPr>
            <a:xfrm>
              <a:off x="1104900" y="7962900"/>
              <a:ext cx="1424940" cy="2832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8−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9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9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48" name="47 CuadroTexto"/>
            <xdr:cNvSpPr txBox="1"/>
          </xdr:nvSpPr>
          <xdr:spPr>
            <a:xfrm>
              <a:off x="1104900" y="7962900"/>
              <a:ext cx="1424940" cy="2832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8−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9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𝑛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9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19050</xdr:colOff>
      <xdr:row>15</xdr:row>
      <xdr:rowOff>171450</xdr:rowOff>
    </xdr:from>
    <xdr:ext cx="165354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9" name="48 CuadroTexto">
              <a:extLst>
                <a:ext uri="{FF2B5EF4-FFF2-40B4-BE49-F238E27FC236}">
                  <a16:creationId xmlns:a16="http://schemas.microsoft.com/office/drawing/2014/main" id="{00000000-0008-0000-0600-000031000000}"/>
                </a:ext>
              </a:extLst>
            </xdr:cNvPr>
            <xdr:cNvSpPr txBox="1"/>
          </xdr:nvSpPr>
          <xdr:spPr>
            <a:xfrm>
              <a:off x="2495550" y="797242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2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1−0.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016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49" name="48 CuadroTexto"/>
            <xdr:cNvSpPr txBox="1"/>
          </xdr:nvSpPr>
          <xdr:spPr>
            <a:xfrm>
              <a:off x="2495550" y="797242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1−0.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016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0</xdr:colOff>
      <xdr:row>16</xdr:row>
      <xdr:rowOff>171450</xdr:rowOff>
    </xdr:from>
    <xdr:ext cx="1424940" cy="2773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0" name="49 CuadroTexto">
              <a:extLst>
                <a:ext uri="{FF2B5EF4-FFF2-40B4-BE49-F238E27FC236}">
                  <a16:creationId xmlns:a16="http://schemas.microsoft.com/office/drawing/2014/main" id="{00000000-0008-0000-0600-000032000000}"/>
                </a:ext>
              </a:extLst>
            </xdr:cNvPr>
            <xdr:cNvSpPr txBox="1"/>
          </xdr:nvSpPr>
          <xdr:spPr>
            <a:xfrm>
              <a:off x="1095375" y="8601075"/>
              <a:ext cx="142494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9−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10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0" name="49 CuadroTexto"/>
            <xdr:cNvSpPr txBox="1"/>
          </xdr:nvSpPr>
          <xdr:spPr>
            <a:xfrm>
              <a:off x="1095375" y="8601075"/>
              <a:ext cx="142494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9−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10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𝑛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47625</xdr:colOff>
      <xdr:row>16</xdr:row>
      <xdr:rowOff>190500</xdr:rowOff>
    </xdr:from>
    <xdr:ext cx="165354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1" name="50 CuadroTexto">
              <a:extLst>
                <a:ext uri="{FF2B5EF4-FFF2-40B4-BE49-F238E27FC236}">
                  <a16:creationId xmlns:a16="http://schemas.microsoft.com/office/drawing/2014/main" id="{00000000-0008-0000-0600-000033000000}"/>
                </a:ext>
              </a:extLst>
            </xdr:cNvPr>
            <xdr:cNvSpPr txBox="1"/>
          </xdr:nvSpPr>
          <xdr:spPr>
            <a:xfrm>
              <a:off x="2524125" y="862012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20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−0. 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001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1" name="50 CuadroTexto"/>
            <xdr:cNvSpPr txBox="1"/>
          </xdr:nvSpPr>
          <xdr:spPr>
            <a:xfrm>
              <a:off x="2524125" y="862012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20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001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619125</xdr:colOff>
      <xdr:row>17</xdr:row>
      <xdr:rowOff>171450</xdr:rowOff>
    </xdr:from>
    <xdr:ext cx="1581150" cy="2773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2" name="51 CuadroTexto">
              <a:extLst>
                <a:ext uri="{FF2B5EF4-FFF2-40B4-BE49-F238E27FC236}">
                  <a16:creationId xmlns:a16="http://schemas.microsoft.com/office/drawing/2014/main" id="{00000000-0008-0000-0600-000034000000}"/>
                </a:ext>
              </a:extLst>
            </xdr:cNvPr>
            <xdr:cNvSpPr txBox="1"/>
          </xdr:nvSpPr>
          <xdr:spPr>
            <a:xfrm>
              <a:off x="1000125" y="9229725"/>
              <a:ext cx="158115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7−15</m:t>
                        </m:r>
                      </m:sub>
                    </m:sSub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10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−15</m:t>
                        </m:r>
                      </m:sub>
                    </m:sSub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2" name="51 CuadroTexto"/>
            <xdr:cNvSpPr txBox="1"/>
          </xdr:nvSpPr>
          <xdr:spPr>
            <a:xfrm>
              <a:off x="1000125" y="9229725"/>
              <a:ext cx="158115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7−15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𝑄_(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10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−15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𝑛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95250</xdr:colOff>
      <xdr:row>17</xdr:row>
      <xdr:rowOff>180975</xdr:rowOff>
    </xdr:from>
    <xdr:ext cx="165354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3" name="52 CuadroTexto">
              <a:extLst>
                <a:ext uri="{FF2B5EF4-FFF2-40B4-BE49-F238E27FC236}">
                  <a16:creationId xmlns:a16="http://schemas.microsoft.com/office/drawing/2014/main" id="{00000000-0008-0000-0600-000035000000}"/>
                </a:ext>
              </a:extLst>
            </xdr:cNvPr>
            <xdr:cNvSpPr txBox="1"/>
          </xdr:nvSpPr>
          <xdr:spPr>
            <a:xfrm>
              <a:off x="2571750" y="9239250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0.1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3+0.20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−0. 0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12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3" name="52 CuadroTexto"/>
            <xdr:cNvSpPr txBox="1"/>
          </xdr:nvSpPr>
          <xdr:spPr>
            <a:xfrm>
              <a:off x="2571750" y="9239250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3+0.20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−0. 0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12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0</xdr:colOff>
      <xdr:row>18</xdr:row>
      <xdr:rowOff>180975</xdr:rowOff>
    </xdr:from>
    <xdr:ext cx="1424940" cy="2773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4" name="53 CuadroTexto">
              <a:extLst>
                <a:ext uri="{FF2B5EF4-FFF2-40B4-BE49-F238E27FC236}">
                  <a16:creationId xmlns:a16="http://schemas.microsoft.com/office/drawing/2014/main" id="{00000000-0008-0000-0600-000036000000}"/>
                </a:ext>
              </a:extLst>
            </xdr:cNvPr>
            <xdr:cNvSpPr txBox="1"/>
          </xdr:nvSpPr>
          <xdr:spPr>
            <a:xfrm>
              <a:off x="1095375" y="9867900"/>
              <a:ext cx="142494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5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−1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sub>
                    </m:sSub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4" name="53 CuadroTexto"/>
            <xdr:cNvSpPr txBox="1"/>
          </xdr:nvSpPr>
          <xdr:spPr>
            <a:xfrm>
              <a:off x="1095375" y="9867900"/>
              <a:ext cx="1424940" cy="2773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𝑛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19050</xdr:colOff>
      <xdr:row>18</xdr:row>
      <xdr:rowOff>171450</xdr:rowOff>
    </xdr:from>
    <xdr:ext cx="165354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5" name="54 CuadroTexto">
              <a:extLst>
                <a:ext uri="{FF2B5EF4-FFF2-40B4-BE49-F238E27FC236}">
                  <a16:creationId xmlns:a16="http://schemas.microsoft.com/office/drawing/2014/main" id="{00000000-0008-0000-0600-000037000000}"/>
                </a:ext>
              </a:extLst>
            </xdr:cNvPr>
            <xdr:cNvSpPr txBox="1"/>
          </xdr:nvSpPr>
          <xdr:spPr>
            <a:xfrm>
              <a:off x="2495550" y="985837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1−0.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004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5" name="54 CuadroTexto"/>
            <xdr:cNvSpPr txBox="1"/>
          </xdr:nvSpPr>
          <xdr:spPr>
            <a:xfrm>
              <a:off x="2495550" y="985837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1−0.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004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238125</xdr:colOff>
      <xdr:row>13</xdr:row>
      <xdr:rowOff>200025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7" name="1 CuadroTexto">
              <a:extLst>
                <a:ext uri="{FF2B5EF4-FFF2-40B4-BE49-F238E27FC236}">
                  <a16:creationId xmlns:a16="http://schemas.microsoft.com/office/drawing/2014/main" id="{00000000-0008-0000-0600-000057000000}"/>
                </a:ext>
              </a:extLst>
            </xdr:cNvPr>
            <xdr:cNvSpPr txBox="1"/>
          </xdr:nvSpPr>
          <xdr:spPr>
            <a:xfrm>
              <a:off x="1333500" y="674370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/>
                      </a:rPr>
                      <m:t> </m:t>
                    </m:r>
                    <m:r>
                      <a:rPr lang="es-ES" sz="1100" b="0" i="1">
                        <a:latin typeface="Cambria Math"/>
                      </a:rPr>
                      <m:t>𝑄</m:t>
                    </m:r>
                    <m:r>
                      <a:rPr lang="es-ES" sz="1100" b="0" i="1">
                        <a:latin typeface="Cambria Math"/>
                      </a:rPr>
                      <m:t> (0.50)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87" name="1 CuadroTexto"/>
            <xdr:cNvSpPr txBox="1"/>
          </xdr:nvSpPr>
          <xdr:spPr>
            <a:xfrm>
              <a:off x="1333500" y="674370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:r>
                <a:rPr lang="es-ES" sz="1100" b="0" i="0">
                  <a:latin typeface="Cambria Math"/>
                </a:rPr>
                <a:t> 𝑄 (0.50)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352425</xdr:colOff>
      <xdr:row>13</xdr:row>
      <xdr:rowOff>200025</xdr:rowOff>
    </xdr:from>
    <xdr:ext cx="102108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0" name="35 CuadroTexto">
              <a:extLst>
                <a:ext uri="{FF2B5EF4-FFF2-40B4-BE49-F238E27FC236}">
                  <a16:creationId xmlns:a16="http://schemas.microsoft.com/office/drawing/2014/main" id="{00000000-0008-0000-0600-00005A000000}"/>
                </a:ext>
              </a:extLst>
            </xdr:cNvPr>
            <xdr:cNvSpPr txBox="1"/>
          </xdr:nvSpPr>
          <xdr:spPr>
            <a:xfrm>
              <a:off x="2828925" y="6743700"/>
              <a:ext cx="102108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/>
                      </a:rPr>
                      <m:t> 0.43 (0.50)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90" name="35 CuadroTexto"/>
            <xdr:cNvSpPr txBox="1"/>
          </xdr:nvSpPr>
          <xdr:spPr>
            <a:xfrm>
              <a:off x="2828925" y="6743700"/>
              <a:ext cx="102108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latin typeface="Cambria Math"/>
                </a:rPr>
                <a:t> 0.43 (0.50)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695325</xdr:colOff>
      <xdr:row>19</xdr:row>
      <xdr:rowOff>180975</xdr:rowOff>
    </xdr:from>
    <xdr:ext cx="1463040" cy="2775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1" name="31 CuadroTexto">
              <a:extLst>
                <a:ext uri="{FF2B5EF4-FFF2-40B4-BE49-F238E27FC236}">
                  <a16:creationId xmlns:a16="http://schemas.microsoft.com/office/drawing/2014/main" id="{00000000-0008-0000-0600-00005B000000}"/>
                </a:ext>
              </a:extLst>
            </xdr:cNvPr>
            <xdr:cNvSpPr txBox="1"/>
          </xdr:nvSpPr>
          <xdr:spPr>
            <a:xfrm>
              <a:off x="1076325" y="10496550"/>
              <a:ext cx="1463040" cy="2775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11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−1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sub>
                    </m:sSub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 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91" name="31 CuadroTexto"/>
            <xdr:cNvSpPr txBox="1"/>
          </xdr:nvSpPr>
          <xdr:spPr>
            <a:xfrm>
              <a:off x="1076325" y="10496550"/>
              <a:ext cx="1463040" cy="2775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11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𝑄_(𝑛_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  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3</xdr:col>
      <xdr:colOff>28575</xdr:colOff>
      <xdr:row>19</xdr:row>
      <xdr:rowOff>171450</xdr:rowOff>
    </xdr:from>
    <xdr:ext cx="165354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2" name="54 CuadroTexto">
              <a:extLst>
                <a:ext uri="{FF2B5EF4-FFF2-40B4-BE49-F238E27FC236}">
                  <a16:creationId xmlns:a16="http://schemas.microsoft.com/office/drawing/2014/main" id="{00000000-0008-0000-0600-00005C000000}"/>
                </a:ext>
              </a:extLst>
            </xdr:cNvPr>
            <xdr:cNvSpPr txBox="1"/>
          </xdr:nvSpPr>
          <xdr:spPr>
            <a:xfrm>
              <a:off x="2505075" y="1048702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0.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</m:t>
                    </m:r>
                    <m:r>
                      <a:rPr lang="es-ES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1−0.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143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92" name="54 CuadroTexto"/>
            <xdr:cNvSpPr txBox="1"/>
          </xdr:nvSpPr>
          <xdr:spPr>
            <a:xfrm>
              <a:off x="2505075" y="10487025"/>
              <a:ext cx="165354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1−0.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143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38100</xdr:colOff>
      <xdr:row>22</xdr:row>
      <xdr:rowOff>171450</xdr:rowOff>
    </xdr:from>
    <xdr:ext cx="1356360" cy="2773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3" name="27 CuadroTexto">
              <a:extLst>
                <a:ext uri="{FF2B5EF4-FFF2-40B4-BE49-F238E27FC236}">
                  <a16:creationId xmlns:a16="http://schemas.microsoft.com/office/drawing/2014/main" id="{00000000-0008-0000-0600-00005D000000}"/>
                </a:ext>
              </a:extLst>
            </xdr:cNvPr>
            <xdr:cNvSpPr txBox="1"/>
          </xdr:nvSpPr>
          <xdr:spPr>
            <a:xfrm>
              <a:off x="1133475" y="12372975"/>
              <a:ext cx="1356360" cy="2773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lang="es-ES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𝑄</m:t>
                      </m:r>
                    </m:e>
                    <m:sub>
                      <m: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1</m:t>
                      </m:r>
                      <m:r>
                        <a:rPr lang="es-CO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  <m: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−1</m:t>
                      </m:r>
                      <m:r>
                        <a:rPr lang="es-CO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6</m:t>
                      </m:r>
                    </m:sub>
                  </m:sSub>
                  <m:r>
                    <a:rPr lang="es-ES" sz="1100" b="0" i="1">
                      <a:solidFill>
                        <a:schemeClr val="tx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−</m:t>
                  </m:r>
                  <m:sSub>
                    <m:sSubPr>
                      <m:ctrlP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s-ES" sz="11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𝑄</m:t>
                      </m:r>
                    </m:e>
                    <m:sub>
                      <m:sSub>
                        <m:sSubPr>
                          <m:ctrlPr>
                            <a:rPr lang="es-ES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es-ES" sz="11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𝑛</m:t>
                          </m:r>
                        </m:e>
                        <m:sub>
                          <m:r>
                            <a:rPr lang="es-ES" sz="11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1</m:t>
                          </m:r>
                          <m:r>
                            <a:rPr lang="es-CO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6</m:t>
                          </m:r>
                        </m:sub>
                      </m:sSub>
                    </m:sub>
                  </m:sSub>
                </m:oMath>
              </a14:m>
              <a:r>
                <a:rPr lang="es-ES" sz="1100"/>
                <a:t>* 0,4</a:t>
              </a:r>
            </a:p>
          </xdr:txBody>
        </xdr:sp>
      </mc:Choice>
      <mc:Fallback xmlns="">
        <xdr:sp macro="" textlink="">
          <xdr:nvSpPr>
            <xdr:cNvPr id="93" name="27 CuadroTexto"/>
            <xdr:cNvSpPr txBox="1"/>
          </xdr:nvSpPr>
          <xdr:spPr>
            <a:xfrm>
              <a:off x="1133475" y="12372975"/>
              <a:ext cx="1356360" cy="2773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−𝑄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𝑛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r>
                <a:rPr lang="es-ES" sz="1100"/>
                <a:t>* 0,4</a:t>
              </a:r>
            </a:p>
          </xdr:txBody>
        </xdr:sp>
      </mc:Fallback>
    </mc:AlternateContent>
    <xdr:clientData/>
  </xdr:oneCellAnchor>
  <xdr:oneCellAnchor>
    <xdr:from>
      <xdr:col>3</xdr:col>
      <xdr:colOff>209550</xdr:colOff>
      <xdr:row>22</xdr:row>
      <xdr:rowOff>190500</xdr:rowOff>
    </xdr:from>
    <xdr:ext cx="144018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4" name="30 CuadroTexto">
              <a:extLst>
                <a:ext uri="{FF2B5EF4-FFF2-40B4-BE49-F238E27FC236}">
                  <a16:creationId xmlns:a16="http://schemas.microsoft.com/office/drawing/2014/main" id="{00000000-0008-0000-0600-00005E000000}"/>
                </a:ext>
              </a:extLst>
            </xdr:cNvPr>
            <xdr:cNvSpPr txBox="1"/>
          </xdr:nvSpPr>
          <xdr:spPr>
            <a:xfrm>
              <a:off x="2686050" y="12392025"/>
              <a:ext cx="144018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es-ES" sz="1100" b="0" i="1">
                      <a:solidFill>
                        <a:schemeClr val="tx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0.</m:t>
                  </m:r>
                  <m:r>
                    <a:rPr lang="es-CO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17</m:t>
                  </m:r>
                  <m:r>
                    <a:rPr lang="es-ES" sz="1100" b="0" i="1">
                      <a:solidFill>
                        <a:schemeClr val="tx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−0.</m:t>
                  </m:r>
                  <m:r>
                    <a:rPr lang="es-CO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001</m:t>
                  </m:r>
                </m:oMath>
              </a14:m>
              <a:r>
                <a:rPr lang="es-ES" sz="1100"/>
                <a:t> * 0,4</a:t>
              </a:r>
            </a:p>
          </xdr:txBody>
        </xdr:sp>
      </mc:Choice>
      <mc:Fallback xmlns="">
        <xdr:sp macro="" textlink="">
          <xdr:nvSpPr>
            <xdr:cNvPr id="94" name="30 CuadroTexto"/>
            <xdr:cNvSpPr txBox="1"/>
          </xdr:nvSpPr>
          <xdr:spPr>
            <a:xfrm>
              <a:off x="2686050" y="12392025"/>
              <a:ext cx="144018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17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−0.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001</a:t>
              </a:r>
              <a:r>
                <a:rPr lang="es-ES" sz="1100"/>
                <a:t> * 0,4</a:t>
              </a:r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613832</xdr:colOff>
      <xdr:row>26</xdr:row>
      <xdr:rowOff>14816</xdr:rowOff>
    </xdr:from>
    <xdr:to>
      <xdr:col>9</xdr:col>
      <xdr:colOff>1142999</xdr:colOff>
      <xdr:row>48</xdr:row>
      <xdr:rowOff>105832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C76D6E3-0828-4D3E-8ED7-C991ABE8B7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Q366"/>
  <sheetViews>
    <sheetView tabSelected="1" zoomScale="80" zoomScaleNormal="80" workbookViewId="0">
      <selection activeCell="E25" sqref="E25"/>
    </sheetView>
  </sheetViews>
  <sheetFormatPr baseColWidth="10" defaultColWidth="11.5703125" defaultRowHeight="15" x14ac:dyDescent="0.25"/>
  <cols>
    <col min="1" max="1" width="5.7109375" style="1" customWidth="1"/>
    <col min="2" max="2" width="11.7109375" style="1" customWidth="1"/>
    <col min="3" max="3" width="30" style="1" customWidth="1"/>
    <col min="4" max="4" width="7.5703125" style="1" customWidth="1"/>
    <col min="5" max="5" width="12.7109375" style="1" customWidth="1"/>
    <col min="6" max="6" width="8.7109375" style="1" customWidth="1"/>
    <col min="7" max="7" width="6.140625" style="1" customWidth="1"/>
    <col min="8" max="10" width="11.5703125" style="1"/>
    <col min="11" max="11" width="9.7109375" style="1" customWidth="1"/>
    <col min="12" max="12" width="8.140625" style="1" customWidth="1"/>
    <col min="13" max="13" width="6.85546875" style="1" customWidth="1"/>
    <col min="14" max="16384" width="11.5703125" style="1"/>
  </cols>
  <sheetData>
    <row r="1" spans="1:43" ht="19.899999999999999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</row>
    <row r="2" spans="1:43" ht="49.9" customHeight="1" x14ac:dyDescent="0.25">
      <c r="A2" s="3"/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2"/>
      <c r="M2" s="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</row>
    <row r="3" spans="1:43" ht="25.15" customHeight="1" x14ac:dyDescent="0.25">
      <c r="A3" s="3"/>
      <c r="B3" s="27"/>
      <c r="C3" s="27"/>
      <c r="D3" s="27"/>
      <c r="E3" s="27"/>
      <c r="F3" s="27"/>
      <c r="G3" s="27"/>
      <c r="H3" s="27"/>
      <c r="I3" s="27"/>
      <c r="J3" s="27"/>
      <c r="K3" s="27"/>
      <c r="L3" s="2"/>
      <c r="M3" s="2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</row>
    <row r="4" spans="1:43" ht="25.15" customHeight="1" x14ac:dyDescent="0.25">
      <c r="A4" s="3"/>
      <c r="B4" s="527" t="s">
        <v>66</v>
      </c>
      <c r="C4" s="528"/>
      <c r="D4" s="16"/>
      <c r="E4" s="16"/>
      <c r="F4" s="16"/>
      <c r="G4" s="17"/>
      <c r="H4" s="22"/>
      <c r="I4" s="532" t="s">
        <v>75</v>
      </c>
      <c r="J4" s="532"/>
      <c r="K4" s="532"/>
      <c r="L4" s="532"/>
      <c r="M4" s="2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</row>
    <row r="5" spans="1:43" ht="10.15" customHeight="1" x14ac:dyDescent="0.25">
      <c r="A5" s="3"/>
      <c r="B5" s="18"/>
      <c r="C5" s="8"/>
      <c r="D5" s="8"/>
      <c r="E5" s="8"/>
      <c r="F5" s="30"/>
      <c r="G5" s="19"/>
      <c r="H5" s="22"/>
      <c r="I5" s="532"/>
      <c r="J5" s="532"/>
      <c r="K5" s="532"/>
      <c r="L5" s="532"/>
      <c r="M5" s="2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</row>
    <row r="6" spans="1:43" ht="18" customHeight="1" x14ac:dyDescent="0.25">
      <c r="A6" s="3"/>
      <c r="B6" s="23"/>
      <c r="C6" s="533" t="s">
        <v>67</v>
      </c>
      <c r="D6" s="533"/>
      <c r="E6" s="533"/>
      <c r="F6" s="15"/>
      <c r="G6" s="19"/>
      <c r="H6" s="22"/>
      <c r="I6" s="532"/>
      <c r="J6" s="532"/>
      <c r="K6" s="532"/>
      <c r="L6" s="532"/>
      <c r="M6" s="2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</row>
    <row r="7" spans="1:43" ht="18" customHeight="1" x14ac:dyDescent="0.25">
      <c r="A7" s="3"/>
      <c r="B7" s="23"/>
      <c r="C7" s="530" t="s">
        <v>0</v>
      </c>
      <c r="D7" s="530"/>
      <c r="E7" s="33">
        <f>70*(1+C18%)^C14</f>
        <v>110.42255865096129</v>
      </c>
      <c r="F7" s="33"/>
      <c r="G7" s="19"/>
      <c r="H7" s="22"/>
      <c r="I7" s="532"/>
      <c r="J7" s="532"/>
      <c r="K7" s="532"/>
      <c r="L7" s="532"/>
      <c r="M7" s="2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</row>
    <row r="8" spans="1:43" ht="18" customHeight="1" x14ac:dyDescent="0.25">
      <c r="A8" s="3"/>
      <c r="B8" s="23"/>
      <c r="C8" s="530" t="s">
        <v>0</v>
      </c>
      <c r="D8" s="530"/>
      <c r="E8" s="35">
        <f>ROUNDUP(E7,0)</f>
        <v>111</v>
      </c>
      <c r="F8" s="15"/>
      <c r="G8" s="19"/>
      <c r="H8" s="22"/>
      <c r="I8" s="532"/>
      <c r="J8" s="532"/>
      <c r="K8" s="532"/>
      <c r="L8" s="532"/>
      <c r="M8" s="2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ht="18" customHeight="1" x14ac:dyDescent="0.25">
      <c r="A9" s="3"/>
      <c r="B9" s="25"/>
      <c r="C9" s="26"/>
      <c r="D9" s="20"/>
      <c r="E9" s="20"/>
      <c r="F9" s="20"/>
      <c r="G9" s="21"/>
      <c r="H9" s="22"/>
      <c r="I9" s="532"/>
      <c r="J9" s="532"/>
      <c r="K9" s="532"/>
      <c r="L9" s="532"/>
      <c r="M9" s="2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</row>
    <row r="10" spans="1:43" ht="19.899999999999999" customHeight="1" x14ac:dyDescent="0.25">
      <c r="A10" s="3"/>
      <c r="B10" s="24"/>
      <c r="C10" s="24"/>
      <c r="D10" s="9"/>
      <c r="E10" s="9"/>
      <c r="F10" s="29"/>
      <c r="G10" s="8"/>
      <c r="H10" s="22"/>
      <c r="I10" s="532"/>
      <c r="J10" s="532"/>
      <c r="K10" s="532"/>
      <c r="L10" s="532"/>
      <c r="M10" s="2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</row>
    <row r="11" spans="1:43" ht="19.899999999999999" customHeight="1" x14ac:dyDescent="0.25">
      <c r="A11" s="3"/>
      <c r="B11" s="532" t="s">
        <v>68</v>
      </c>
      <c r="C11" s="532"/>
      <c r="D11" s="532"/>
      <c r="E11" s="532"/>
      <c r="F11" s="532"/>
      <c r="G11" s="532"/>
      <c r="H11" s="102"/>
      <c r="I11" s="532"/>
      <c r="J11" s="532"/>
      <c r="K11" s="532"/>
      <c r="L11" s="532"/>
      <c r="M11" s="2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</row>
    <row r="12" spans="1:43" ht="10.15" customHeight="1" x14ac:dyDescent="0.25">
      <c r="A12" s="3"/>
      <c r="B12" s="532"/>
      <c r="C12" s="532"/>
      <c r="D12" s="532"/>
      <c r="E12" s="532"/>
      <c r="F12" s="532"/>
      <c r="G12" s="532"/>
      <c r="H12" s="102"/>
      <c r="M12" s="2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</row>
    <row r="13" spans="1:43" ht="18" customHeight="1" x14ac:dyDescent="0.25">
      <c r="A13" s="3"/>
      <c r="B13" s="532"/>
      <c r="C13" s="532"/>
      <c r="D13" s="532"/>
      <c r="E13" s="532"/>
      <c r="F13" s="532"/>
      <c r="G13" s="532"/>
      <c r="H13" s="31"/>
      <c r="M13" s="2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</row>
    <row r="14" spans="1:43" ht="18.75" customHeight="1" x14ac:dyDescent="0.25">
      <c r="A14" s="3"/>
      <c r="B14" s="531" t="s">
        <v>1</v>
      </c>
      <c r="C14" s="531">
        <v>25</v>
      </c>
      <c r="D14" s="3"/>
      <c r="E14" s="101"/>
      <c r="F14" s="101"/>
      <c r="G14" s="102"/>
      <c r="H14" s="102"/>
      <c r="I14" s="40" t="s">
        <v>0</v>
      </c>
      <c r="J14" s="99">
        <f>E8</f>
        <v>111</v>
      </c>
      <c r="M14" s="2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</row>
    <row r="15" spans="1:43" ht="18" customHeight="1" x14ac:dyDescent="0.25">
      <c r="A15" s="3"/>
      <c r="B15" s="531"/>
      <c r="C15" s="531"/>
      <c r="D15" s="3"/>
      <c r="E15" s="34"/>
      <c r="F15" s="34"/>
      <c r="G15" s="102"/>
      <c r="H15" s="102"/>
      <c r="M15" s="2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</row>
    <row r="16" spans="1:43" ht="18" customHeight="1" x14ac:dyDescent="0.25">
      <c r="A16" s="4"/>
      <c r="B16" s="532" t="s">
        <v>69</v>
      </c>
      <c r="C16" s="532"/>
      <c r="D16" s="532"/>
      <c r="E16" s="532"/>
      <c r="F16" s="532"/>
      <c r="G16" s="532"/>
      <c r="H16" s="102"/>
      <c r="M16" s="2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</row>
    <row r="17" spans="1:43" ht="18" customHeight="1" x14ac:dyDescent="0.25">
      <c r="A17" s="3"/>
      <c r="B17" s="532"/>
      <c r="C17" s="532"/>
      <c r="D17" s="532"/>
      <c r="E17" s="532"/>
      <c r="F17" s="532"/>
      <c r="G17" s="532"/>
      <c r="H17" s="102"/>
      <c r="M17" s="2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</row>
    <row r="18" spans="1:43" ht="18" customHeight="1" x14ac:dyDescent="0.25">
      <c r="A18" s="3"/>
      <c r="B18" s="531" t="s">
        <v>70</v>
      </c>
      <c r="C18" s="531">
        <v>1.84</v>
      </c>
      <c r="D18" s="531" t="s">
        <v>71</v>
      </c>
      <c r="E18" s="102"/>
      <c r="F18" s="102"/>
      <c r="G18" s="102"/>
      <c r="H18" s="102"/>
      <c r="I18" s="3"/>
      <c r="J18" s="3"/>
      <c r="K18" s="3"/>
      <c r="L18" s="2"/>
      <c r="M18" s="2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</row>
    <row r="19" spans="1:43" ht="21.75" customHeight="1" x14ac:dyDescent="0.25">
      <c r="A19" s="3"/>
      <c r="B19" s="531"/>
      <c r="C19" s="531"/>
      <c r="D19" s="531"/>
      <c r="E19" s="15"/>
      <c r="F19" s="15"/>
      <c r="G19" s="102"/>
      <c r="H19" s="102"/>
      <c r="I19" s="3"/>
      <c r="J19" s="3"/>
      <c r="K19" s="3"/>
      <c r="L19" s="2"/>
      <c r="M19" s="2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</row>
    <row r="20" spans="1:43" ht="18" customHeight="1" x14ac:dyDescent="0.25">
      <c r="A20" s="28"/>
      <c r="B20" s="536" t="s">
        <v>72</v>
      </c>
      <c r="C20" s="536"/>
      <c r="D20" s="536"/>
      <c r="E20" s="536"/>
      <c r="F20" s="536"/>
      <c r="G20" s="536"/>
      <c r="H20" s="102"/>
      <c r="M20" s="2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</row>
    <row r="21" spans="1:43" ht="11.25" customHeight="1" x14ac:dyDescent="0.25">
      <c r="A21" s="100"/>
      <c r="B21" s="103"/>
      <c r="C21" s="103"/>
      <c r="D21" s="103"/>
      <c r="E21" s="103"/>
      <c r="F21" s="103"/>
      <c r="G21" s="103"/>
      <c r="H21" s="102"/>
      <c r="M21" s="2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</row>
    <row r="22" spans="1:43" ht="18" customHeight="1" x14ac:dyDescent="0.25">
      <c r="A22" s="28"/>
      <c r="B22" s="531" t="s">
        <v>73</v>
      </c>
      <c r="C22" s="531">
        <v>70</v>
      </c>
      <c r="D22" s="531" t="s">
        <v>74</v>
      </c>
      <c r="E22" s="101"/>
      <c r="F22" s="34"/>
      <c r="G22" s="102"/>
      <c r="H22" s="102"/>
      <c r="M22" s="2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</row>
    <row r="23" spans="1:43" ht="18" customHeight="1" x14ac:dyDescent="0.25">
      <c r="A23" s="28"/>
      <c r="B23" s="531"/>
      <c r="C23" s="531"/>
      <c r="D23" s="531"/>
      <c r="E23" s="101"/>
      <c r="F23" s="34"/>
      <c r="G23" s="102"/>
      <c r="H23" s="102"/>
      <c r="M23" s="2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</row>
    <row r="24" spans="1:43" ht="18" customHeight="1" x14ac:dyDescent="0.25">
      <c r="A24" s="28"/>
      <c r="B24" s="24"/>
      <c r="C24" s="39"/>
      <c r="D24" s="101"/>
      <c r="E24" s="101"/>
      <c r="F24" s="34"/>
      <c r="G24" s="102"/>
      <c r="H24" s="102"/>
      <c r="M24" s="2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</row>
    <row r="25" spans="1:43" ht="18" customHeight="1" x14ac:dyDescent="0.25">
      <c r="A25" s="28"/>
      <c r="B25" s="24"/>
      <c r="C25" s="39"/>
      <c r="D25" s="101"/>
      <c r="E25" s="101"/>
      <c r="F25" s="34"/>
      <c r="G25" s="102"/>
      <c r="H25" s="102"/>
      <c r="M25" s="2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</row>
    <row r="26" spans="1:43" s="11" customFormat="1" ht="18" customHeight="1" x14ac:dyDescent="0.25">
      <c r="A26" s="12"/>
      <c r="B26" s="104"/>
      <c r="C26" s="105"/>
      <c r="D26" s="66"/>
      <c r="E26" s="66"/>
      <c r="F26" s="106"/>
      <c r="G26" s="13"/>
      <c r="H26" s="13"/>
      <c r="M26" s="10"/>
    </row>
    <row r="27" spans="1:43" s="11" customFormat="1" ht="18" customHeight="1" x14ac:dyDescent="0.25">
      <c r="A27" s="12"/>
      <c r="B27" s="104"/>
      <c r="C27" s="104"/>
      <c r="D27" s="66"/>
      <c r="E27" s="66"/>
      <c r="F27" s="106"/>
      <c r="G27" s="13"/>
      <c r="H27" s="13"/>
      <c r="M27" s="10"/>
    </row>
    <row r="28" spans="1:43" s="11" customFormat="1" ht="18" customHeight="1" x14ac:dyDescent="0.25">
      <c r="A28" s="12"/>
      <c r="B28" s="104"/>
      <c r="C28" s="534"/>
      <c r="D28" s="534"/>
      <c r="E28" s="106"/>
      <c r="F28" s="106"/>
      <c r="G28" s="13"/>
      <c r="H28" s="13"/>
      <c r="I28" s="12"/>
      <c r="J28" s="12"/>
      <c r="K28" s="12"/>
      <c r="L28" s="10"/>
      <c r="M28" s="10"/>
    </row>
    <row r="29" spans="1:43" s="11" customFormat="1" ht="18" customHeight="1" x14ac:dyDescent="0.25">
      <c r="A29" s="12"/>
      <c r="B29" s="104"/>
      <c r="C29" s="534"/>
      <c r="D29" s="534"/>
      <c r="E29" s="107"/>
      <c r="F29" s="108"/>
      <c r="G29" s="13"/>
      <c r="H29" s="13"/>
      <c r="I29" s="535"/>
      <c r="J29" s="535"/>
      <c r="K29" s="60"/>
      <c r="L29" s="10"/>
      <c r="M29" s="10"/>
    </row>
    <row r="30" spans="1:43" s="11" customFormat="1" ht="18" customHeight="1" x14ac:dyDescent="0.25">
      <c r="A30" s="12"/>
      <c r="B30" s="104"/>
      <c r="C30" s="534"/>
      <c r="D30" s="534"/>
      <c r="E30" s="109"/>
      <c r="F30" s="108"/>
      <c r="G30" s="13"/>
      <c r="H30" s="13"/>
      <c r="I30" s="12"/>
      <c r="J30" s="12"/>
      <c r="K30" s="12"/>
      <c r="L30" s="10"/>
      <c r="M30" s="10"/>
    </row>
    <row r="31" spans="1:43" s="11" customFormat="1" ht="18" customHeight="1" x14ac:dyDescent="0.25">
      <c r="A31" s="12"/>
      <c r="B31" s="104"/>
      <c r="C31" s="104"/>
      <c r="D31" s="66"/>
      <c r="E31" s="66"/>
      <c r="F31" s="66"/>
      <c r="G31" s="13"/>
      <c r="H31" s="13"/>
      <c r="I31" s="12"/>
      <c r="J31" s="12"/>
      <c r="K31" s="12"/>
      <c r="L31" s="10"/>
      <c r="M31" s="10"/>
    </row>
    <row r="32" spans="1:43" s="11" customFormat="1" ht="15.75" x14ac:dyDescent="0.25">
      <c r="A32" s="12"/>
      <c r="B32" s="13"/>
      <c r="C32" s="13"/>
      <c r="D32" s="13"/>
      <c r="E32" s="13"/>
      <c r="F32" s="13"/>
      <c r="G32" s="13"/>
      <c r="H32" s="13"/>
      <c r="I32" s="12"/>
      <c r="J32" s="12"/>
      <c r="K32" s="12"/>
      <c r="L32" s="10"/>
      <c r="M32" s="10"/>
    </row>
    <row r="33" spans="1:36" s="11" customFormat="1" ht="15.75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0"/>
      <c r="M33" s="10"/>
    </row>
    <row r="34" spans="1:36" s="11" customFormat="1" ht="15.75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0"/>
      <c r="M34" s="10"/>
    </row>
    <row r="35" spans="1:36" s="11" customFormat="1" ht="15.75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0"/>
      <c r="M35" s="10"/>
    </row>
    <row r="36" spans="1:36" s="11" customFormat="1" ht="15.75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0"/>
      <c r="M36" s="10"/>
    </row>
    <row r="37" spans="1:36" s="11" customFormat="1" ht="16.5" x14ac:dyDescent="0.3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</row>
    <row r="38" spans="1:36" s="11" customFormat="1" ht="16.5" x14ac:dyDescent="0.3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</row>
    <row r="39" spans="1:36" s="11" customFormat="1" ht="16.5" x14ac:dyDescent="0.3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</row>
    <row r="40" spans="1:36" s="11" customFormat="1" ht="16.5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</row>
    <row r="41" spans="1:36" s="11" customFormat="1" ht="16.5" x14ac:dyDescent="0.3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</row>
    <row r="42" spans="1:36" s="11" customFormat="1" x14ac:dyDescent="0.25"/>
    <row r="43" spans="1:36" s="11" customFormat="1" x14ac:dyDescent="0.25"/>
    <row r="44" spans="1:36" s="11" customFormat="1" x14ac:dyDescent="0.25"/>
    <row r="45" spans="1:36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</row>
    <row r="46" spans="1:36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</row>
    <row r="47" spans="1:36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</row>
    <row r="48" spans="1:36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</row>
    <row r="49" spans="1:36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</row>
    <row r="50" spans="1:36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</row>
    <row r="51" spans="1:36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</row>
    <row r="52" spans="1:36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</row>
    <row r="53" spans="1:36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</row>
    <row r="54" spans="1:36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</row>
    <row r="55" spans="1:36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</row>
    <row r="56" spans="1:36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</row>
    <row r="57" spans="1:36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</row>
    <row r="58" spans="1:36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</row>
    <row r="59" spans="1:36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</row>
    <row r="60" spans="1:36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</row>
    <row r="61" spans="1:36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</row>
    <row r="62" spans="1:36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</row>
    <row r="63" spans="1:36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</row>
    <row r="64" spans="1:36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</row>
    <row r="65" spans="1:36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</row>
    <row r="66" spans="1:36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</row>
    <row r="67" spans="1:36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</row>
    <row r="68" spans="1:36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</row>
    <row r="69" spans="1:36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</row>
    <row r="70" spans="1:36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</row>
    <row r="71" spans="1:36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</row>
    <row r="72" spans="1:36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</row>
    <row r="73" spans="1:36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</row>
    <row r="74" spans="1:36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</row>
    <row r="75" spans="1:36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</row>
    <row r="76" spans="1:36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</row>
    <row r="77" spans="1:36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</row>
    <row r="78" spans="1:36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</row>
    <row r="79" spans="1:36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</row>
    <row r="80" spans="1:36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</row>
    <row r="81" spans="1:36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</row>
    <row r="82" spans="1:36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</row>
    <row r="83" spans="1:36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</row>
    <row r="84" spans="1:36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</row>
    <row r="85" spans="1:36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</row>
    <row r="86" spans="1:36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</row>
    <row r="87" spans="1:36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</row>
    <row r="88" spans="1:36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</row>
    <row r="89" spans="1:36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</row>
    <row r="90" spans="1:36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</row>
    <row r="91" spans="1:36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</row>
    <row r="92" spans="1:36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</row>
    <row r="93" spans="1:36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</row>
    <row r="94" spans="1:36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</row>
    <row r="95" spans="1:36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</row>
    <row r="96" spans="1:36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</row>
    <row r="97" spans="1:36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</row>
    <row r="98" spans="1:36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</row>
    <row r="99" spans="1:36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</row>
    <row r="100" spans="1:36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</row>
    <row r="101" spans="1:36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</row>
    <row r="102" spans="1:36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</row>
    <row r="103" spans="1:36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</row>
    <row r="104" spans="1:36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</row>
    <row r="105" spans="1:36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</row>
    <row r="106" spans="1:36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</row>
    <row r="107" spans="1:36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</row>
    <row r="108" spans="1:36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</row>
    <row r="109" spans="1:36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</row>
    <row r="110" spans="1:36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</row>
    <row r="111" spans="1:36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</row>
    <row r="112" spans="1:36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</row>
    <row r="113" spans="1:36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</row>
    <row r="114" spans="1:36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</row>
    <row r="115" spans="1:36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</row>
    <row r="116" spans="1:36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</row>
    <row r="117" spans="1:36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</row>
    <row r="118" spans="1:36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</row>
    <row r="119" spans="1:36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</row>
    <row r="120" spans="1:36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</row>
    <row r="121" spans="1:36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</row>
    <row r="122" spans="1:36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</row>
    <row r="123" spans="1:36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</row>
    <row r="124" spans="1:36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</row>
    <row r="125" spans="1:36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</row>
    <row r="126" spans="1:36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</row>
    <row r="127" spans="1:36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</row>
    <row r="128" spans="1:36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</row>
    <row r="129" spans="1:36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</row>
    <row r="130" spans="1:36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</row>
    <row r="131" spans="1:36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</row>
    <row r="132" spans="1:36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</row>
    <row r="133" spans="1:36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</row>
    <row r="134" spans="1:36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</row>
    <row r="135" spans="1:36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</row>
    <row r="136" spans="1:36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</row>
    <row r="137" spans="1:36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</row>
    <row r="138" spans="1:36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</row>
    <row r="139" spans="1:36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</row>
    <row r="140" spans="1:36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</row>
    <row r="141" spans="1:36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</row>
    <row r="142" spans="1:36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</row>
    <row r="143" spans="1:36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</row>
    <row r="144" spans="1:36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</row>
    <row r="145" spans="1:36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</row>
    <row r="146" spans="1:36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</row>
    <row r="147" spans="1:36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</row>
    <row r="148" spans="1:36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</row>
    <row r="149" spans="1:36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</row>
    <row r="150" spans="1:36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</row>
    <row r="151" spans="1:36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</row>
    <row r="152" spans="1:36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</row>
    <row r="153" spans="1:36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</row>
    <row r="154" spans="1:36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</row>
    <row r="155" spans="1:36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</row>
    <row r="156" spans="1:36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</row>
    <row r="157" spans="1:36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</row>
    <row r="158" spans="1:36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</row>
    <row r="159" spans="1:36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</row>
    <row r="160" spans="1:36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</row>
    <row r="161" spans="1:36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</row>
    <row r="162" spans="1:36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</row>
    <row r="163" spans="1:36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</row>
    <row r="164" spans="1:36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</row>
    <row r="165" spans="1:36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</row>
    <row r="166" spans="1:36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</row>
    <row r="167" spans="1:36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</row>
    <row r="168" spans="1:36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</row>
    <row r="169" spans="1:36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</row>
    <row r="170" spans="1:36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</row>
    <row r="171" spans="1:36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</row>
    <row r="172" spans="1:36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</row>
    <row r="173" spans="1:36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</row>
    <row r="174" spans="1:36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</row>
    <row r="175" spans="1:36" x14ac:dyDescent="0.25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</row>
    <row r="176" spans="1:36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</row>
    <row r="177" spans="1:36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</row>
    <row r="178" spans="1:36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</row>
    <row r="179" spans="1:36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</row>
    <row r="180" spans="1:36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</row>
    <row r="181" spans="1:36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</row>
    <row r="182" spans="1:36" x14ac:dyDescent="0.25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</row>
    <row r="183" spans="1:36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</row>
    <row r="184" spans="1:36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</row>
    <row r="185" spans="1:36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</row>
    <row r="186" spans="1:36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</row>
    <row r="187" spans="1:36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</row>
    <row r="188" spans="1:36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</row>
    <row r="189" spans="1:36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</row>
    <row r="190" spans="1:36" x14ac:dyDescent="0.25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</row>
    <row r="191" spans="1:36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</row>
    <row r="192" spans="1:36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</row>
    <row r="193" spans="1:36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</row>
    <row r="194" spans="1:36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</row>
    <row r="195" spans="1:36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</row>
    <row r="196" spans="1:36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</row>
    <row r="197" spans="1:36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</row>
    <row r="198" spans="1:36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</row>
    <row r="199" spans="1:36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</row>
    <row r="200" spans="1:36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</row>
    <row r="201" spans="1:36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</row>
    <row r="202" spans="1:36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</row>
    <row r="203" spans="1:36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</row>
    <row r="204" spans="1:36" x14ac:dyDescent="0.25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</row>
    <row r="205" spans="1:36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</row>
    <row r="206" spans="1:36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</row>
    <row r="207" spans="1:36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</row>
    <row r="208" spans="1:36" x14ac:dyDescent="0.25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</row>
    <row r="209" spans="1:36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</row>
    <row r="210" spans="1:36" x14ac:dyDescent="0.25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</row>
    <row r="211" spans="1:36" x14ac:dyDescent="0.25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</row>
    <row r="212" spans="1:36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</row>
    <row r="213" spans="1:36" x14ac:dyDescent="0.25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</row>
    <row r="214" spans="1:36" x14ac:dyDescent="0.25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</row>
    <row r="215" spans="1:36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</row>
    <row r="216" spans="1:36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</row>
    <row r="217" spans="1:36" x14ac:dyDescent="0.25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</row>
    <row r="218" spans="1:36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</row>
    <row r="219" spans="1:36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</row>
    <row r="220" spans="1:36" x14ac:dyDescent="0.25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</row>
    <row r="221" spans="1:36" x14ac:dyDescent="0.25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</row>
    <row r="222" spans="1:36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</row>
    <row r="223" spans="1:36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</row>
    <row r="224" spans="1:36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</row>
    <row r="225" spans="1:36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</row>
    <row r="226" spans="1:36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</row>
    <row r="227" spans="1:36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</row>
    <row r="228" spans="1:36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</row>
    <row r="229" spans="1:36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</row>
    <row r="230" spans="1:36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</row>
    <row r="231" spans="1:36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</row>
    <row r="232" spans="1:36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</row>
    <row r="233" spans="1:36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</row>
    <row r="234" spans="1:36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</row>
    <row r="235" spans="1:36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</row>
    <row r="236" spans="1:36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</row>
    <row r="237" spans="1:36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</row>
    <row r="238" spans="1:36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</row>
    <row r="239" spans="1:36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</row>
    <row r="240" spans="1:36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</row>
    <row r="241" spans="1:36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</row>
    <row r="242" spans="1:36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</row>
    <row r="243" spans="1:36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</row>
    <row r="244" spans="1:36" x14ac:dyDescent="0.25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</row>
    <row r="245" spans="1:36" x14ac:dyDescent="0.25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</row>
    <row r="246" spans="1:36" x14ac:dyDescent="0.25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</row>
    <row r="247" spans="1:36" x14ac:dyDescent="0.25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</row>
    <row r="248" spans="1:36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</row>
    <row r="249" spans="1:36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</row>
    <row r="250" spans="1:36" x14ac:dyDescent="0.25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</row>
    <row r="251" spans="1:36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</row>
    <row r="252" spans="1:36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</row>
    <row r="253" spans="1:36" x14ac:dyDescent="0.25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</row>
    <row r="254" spans="1:36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</row>
    <row r="255" spans="1:36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</row>
    <row r="256" spans="1:36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</row>
    <row r="257" spans="1:36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</row>
    <row r="258" spans="1:36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</row>
    <row r="259" spans="1:36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</row>
    <row r="260" spans="1:36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</row>
    <row r="261" spans="1:36" x14ac:dyDescent="0.25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</row>
    <row r="262" spans="1:36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</row>
    <row r="263" spans="1:36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</row>
    <row r="264" spans="1:36" x14ac:dyDescent="0.25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</row>
    <row r="265" spans="1:36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</row>
    <row r="266" spans="1:36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</row>
    <row r="267" spans="1:36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</row>
    <row r="268" spans="1:36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</row>
    <row r="269" spans="1:36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</row>
    <row r="270" spans="1:36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</row>
    <row r="271" spans="1:36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</row>
    <row r="272" spans="1:36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</row>
    <row r="273" spans="1:36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</row>
    <row r="274" spans="1:36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</row>
    <row r="275" spans="1:36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</row>
    <row r="276" spans="1:36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</row>
    <row r="277" spans="1:36" x14ac:dyDescent="0.25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</row>
    <row r="278" spans="1:36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</row>
    <row r="279" spans="1:36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</row>
    <row r="280" spans="1:36" x14ac:dyDescent="0.25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</row>
    <row r="281" spans="1:36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</row>
    <row r="282" spans="1:36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</row>
    <row r="283" spans="1:36" x14ac:dyDescent="0.25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</row>
    <row r="284" spans="1:36" x14ac:dyDescent="0.25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</row>
    <row r="285" spans="1:36" x14ac:dyDescent="0.25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</row>
    <row r="286" spans="1:36" x14ac:dyDescent="0.25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</row>
    <row r="287" spans="1:36" x14ac:dyDescent="0.25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</row>
    <row r="288" spans="1:36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</row>
    <row r="289" spans="1:36" x14ac:dyDescent="0.25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</row>
    <row r="290" spans="1:36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</row>
    <row r="291" spans="1:36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</row>
    <row r="292" spans="1:36" x14ac:dyDescent="0.25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</row>
    <row r="293" spans="1:36" x14ac:dyDescent="0.25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</row>
    <row r="294" spans="1:36" x14ac:dyDescent="0.25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</row>
    <row r="295" spans="1:36" x14ac:dyDescent="0.25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</row>
    <row r="296" spans="1:36" x14ac:dyDescent="0.25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</row>
    <row r="297" spans="1:36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</row>
    <row r="298" spans="1:36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</row>
    <row r="299" spans="1:36" x14ac:dyDescent="0.25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</row>
    <row r="300" spans="1:36" x14ac:dyDescent="0.25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</row>
    <row r="301" spans="1:36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</row>
    <row r="302" spans="1:36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</row>
    <row r="303" spans="1:36" x14ac:dyDescent="0.25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</row>
    <row r="304" spans="1:36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</row>
    <row r="305" spans="1:36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</row>
    <row r="306" spans="1:36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</row>
    <row r="307" spans="1:36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</row>
    <row r="308" spans="1:36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</row>
    <row r="309" spans="1:36" x14ac:dyDescent="0.25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</row>
    <row r="310" spans="1:36" x14ac:dyDescent="0.25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</row>
    <row r="311" spans="1:36" x14ac:dyDescent="0.25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</row>
    <row r="312" spans="1:36" x14ac:dyDescent="0.25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</row>
    <row r="313" spans="1:36" x14ac:dyDescent="0.25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</row>
    <row r="314" spans="1:36" x14ac:dyDescent="0.25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</row>
    <row r="315" spans="1:36" x14ac:dyDescent="0.25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</row>
    <row r="316" spans="1:36" x14ac:dyDescent="0.25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</row>
    <row r="317" spans="1:36" x14ac:dyDescent="0.25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</row>
    <row r="318" spans="1:36" x14ac:dyDescent="0.25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</row>
    <row r="319" spans="1:36" x14ac:dyDescent="0.25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</row>
    <row r="320" spans="1:36" x14ac:dyDescent="0.25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</row>
    <row r="321" spans="1:36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</row>
    <row r="322" spans="1:36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</row>
    <row r="323" spans="1:36" x14ac:dyDescent="0.25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</row>
    <row r="324" spans="1:36" x14ac:dyDescent="0.25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</row>
    <row r="325" spans="1:36" x14ac:dyDescent="0.25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</row>
    <row r="326" spans="1:36" x14ac:dyDescent="0.25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</row>
    <row r="327" spans="1:36" x14ac:dyDescent="0.25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</row>
    <row r="328" spans="1:36" x14ac:dyDescent="0.25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</row>
    <row r="329" spans="1:36" x14ac:dyDescent="0.25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</row>
    <row r="330" spans="1:36" x14ac:dyDescent="0.25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</row>
    <row r="331" spans="1:36" x14ac:dyDescent="0.25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</row>
    <row r="332" spans="1:36" x14ac:dyDescent="0.25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</row>
    <row r="333" spans="1:36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</row>
    <row r="334" spans="1:36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</row>
    <row r="335" spans="1:36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</row>
    <row r="336" spans="1:36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</row>
    <row r="337" spans="1:36" x14ac:dyDescent="0.25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</row>
    <row r="338" spans="1:36" x14ac:dyDescent="0.25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</row>
    <row r="339" spans="1:36" x14ac:dyDescent="0.25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</row>
    <row r="340" spans="1:36" x14ac:dyDescent="0.25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</row>
    <row r="341" spans="1:36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</row>
    <row r="342" spans="1:36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</row>
    <row r="343" spans="1:36" x14ac:dyDescent="0.25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</row>
    <row r="344" spans="1:36" x14ac:dyDescent="0.25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</row>
    <row r="345" spans="1:36" x14ac:dyDescent="0.25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</row>
    <row r="346" spans="1:36" x14ac:dyDescent="0.25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</row>
    <row r="347" spans="1:36" x14ac:dyDescent="0.25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</row>
    <row r="348" spans="1:36" x14ac:dyDescent="0.25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</row>
    <row r="349" spans="1:36" x14ac:dyDescent="0.25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</row>
    <row r="350" spans="1:36" x14ac:dyDescent="0.25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</row>
    <row r="351" spans="1:36" x14ac:dyDescent="0.25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</row>
    <row r="352" spans="1:36" x14ac:dyDescent="0.25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</row>
    <row r="353" spans="1:36" x14ac:dyDescent="0.25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</row>
    <row r="354" spans="1:36" x14ac:dyDescent="0.25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</row>
    <row r="355" spans="1:36" x14ac:dyDescent="0.25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</row>
    <row r="356" spans="1:36" x14ac:dyDescent="0.25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</row>
    <row r="357" spans="1:36" x14ac:dyDescent="0.25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</row>
    <row r="358" spans="1:36" x14ac:dyDescent="0.25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</row>
    <row r="359" spans="1:36" x14ac:dyDescent="0.25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</row>
    <row r="360" spans="1:36" x14ac:dyDescent="0.25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</row>
    <row r="361" spans="1:36" x14ac:dyDescent="0.25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</row>
    <row r="362" spans="1:36" x14ac:dyDescent="0.25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</row>
    <row r="363" spans="1:36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</row>
    <row r="364" spans="1:36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</row>
    <row r="365" spans="1:36" x14ac:dyDescent="0.25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</row>
    <row r="366" spans="1:36" x14ac:dyDescent="0.25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</row>
  </sheetData>
  <mergeCells count="21">
    <mergeCell ref="C28:D28"/>
    <mergeCell ref="C8:D8"/>
    <mergeCell ref="C30:D30"/>
    <mergeCell ref="C29:D29"/>
    <mergeCell ref="I29:J29"/>
    <mergeCell ref="B20:G20"/>
    <mergeCell ref="B22:B23"/>
    <mergeCell ref="C22:C23"/>
    <mergeCell ref="D22:D23"/>
    <mergeCell ref="C18:C19"/>
    <mergeCell ref="D18:D19"/>
    <mergeCell ref="B11:G13"/>
    <mergeCell ref="B16:G17"/>
    <mergeCell ref="B18:B19"/>
    <mergeCell ref="B4:C4"/>
    <mergeCell ref="B2:K2"/>
    <mergeCell ref="C7:D7"/>
    <mergeCell ref="B14:B15"/>
    <mergeCell ref="C14:C15"/>
    <mergeCell ref="I4:L11"/>
    <mergeCell ref="C6:E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NL465"/>
  <sheetViews>
    <sheetView topLeftCell="A103" zoomScale="60" zoomScaleNormal="60" workbookViewId="0">
      <selection activeCell="H166" sqref="H166"/>
    </sheetView>
  </sheetViews>
  <sheetFormatPr baseColWidth="10" defaultColWidth="11.5703125" defaultRowHeight="15.75" x14ac:dyDescent="0.25"/>
  <cols>
    <col min="1" max="1" width="5.7109375" style="211" customWidth="1"/>
    <col min="2" max="2" width="12.7109375" style="211" customWidth="1"/>
    <col min="3" max="6" width="13.7109375" style="211" customWidth="1"/>
    <col min="7" max="11" width="15.7109375" style="211" customWidth="1"/>
    <col min="12" max="12" width="20.7109375" style="211" customWidth="1"/>
    <col min="13" max="13" width="6.7109375" style="211" customWidth="1"/>
    <col min="14" max="15" width="20.7109375" style="211" customWidth="1"/>
    <col min="16" max="376" width="11.5703125" style="208"/>
    <col min="377" max="16384" width="11.5703125" style="211"/>
  </cols>
  <sheetData>
    <row r="1" spans="1:19" ht="15" customHeight="1" x14ac:dyDescent="0.25"/>
    <row r="2" spans="1:19" ht="49.9" customHeight="1" x14ac:dyDescent="0.25"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90"/>
      <c r="N2" s="90"/>
      <c r="O2" s="90"/>
      <c r="P2" s="91"/>
      <c r="Q2" s="91"/>
      <c r="R2" s="91"/>
      <c r="S2" s="66"/>
    </row>
    <row r="3" spans="1:19" ht="30" customHeight="1" thickBot="1" x14ac:dyDescent="0.3"/>
    <row r="4" spans="1:19" ht="19.899999999999999" customHeight="1" x14ac:dyDescent="0.25">
      <c r="B4" s="626" t="s">
        <v>136</v>
      </c>
      <c r="C4" s="627"/>
      <c r="D4" s="627"/>
      <c r="E4" s="627"/>
      <c r="F4" s="627"/>
      <c r="G4" s="627"/>
      <c r="H4" s="627"/>
      <c r="I4" s="627"/>
      <c r="J4" s="627"/>
      <c r="K4" s="627"/>
      <c r="L4" s="628"/>
      <c r="M4" s="207"/>
      <c r="N4" s="207"/>
      <c r="O4" s="207"/>
    </row>
    <row r="5" spans="1:19" ht="19.899999999999999" customHeight="1" thickBot="1" x14ac:dyDescent="0.3">
      <c r="B5" s="629"/>
      <c r="C5" s="630"/>
      <c r="D5" s="630"/>
      <c r="E5" s="630"/>
      <c r="F5" s="630"/>
      <c r="G5" s="630"/>
      <c r="H5" s="630"/>
      <c r="I5" s="630"/>
      <c r="J5" s="630"/>
      <c r="K5" s="630"/>
      <c r="L5" s="631"/>
      <c r="M5" s="207"/>
      <c r="N5" s="207"/>
      <c r="O5" s="207"/>
    </row>
    <row r="6" spans="1:19" ht="19.899999999999999" customHeight="1" x14ac:dyDescent="0.25">
      <c r="B6" s="634" t="s">
        <v>29</v>
      </c>
      <c r="C6" s="154" t="s">
        <v>97</v>
      </c>
      <c r="D6" s="636" t="s">
        <v>101</v>
      </c>
      <c r="E6" s="636"/>
      <c r="F6" s="637"/>
      <c r="G6" s="213" t="s">
        <v>112</v>
      </c>
      <c r="H6" s="154" t="s">
        <v>98</v>
      </c>
      <c r="I6" s="154" t="s">
        <v>96</v>
      </c>
      <c r="J6" s="634" t="s">
        <v>113</v>
      </c>
      <c r="K6" s="634" t="s">
        <v>114</v>
      </c>
      <c r="L6" s="638" t="s">
        <v>115</v>
      </c>
      <c r="M6" s="209"/>
      <c r="N6" s="209"/>
      <c r="O6" s="209"/>
    </row>
    <row r="7" spans="1:19" ht="19.899999999999999" customHeight="1" thickBot="1" x14ac:dyDescent="0.3">
      <c r="B7" s="635"/>
      <c r="C7" s="155" t="s">
        <v>104</v>
      </c>
      <c r="D7" s="157" t="s">
        <v>107</v>
      </c>
      <c r="E7" s="157" t="s">
        <v>107</v>
      </c>
      <c r="F7" s="156" t="s">
        <v>104</v>
      </c>
      <c r="G7" s="187" t="s">
        <v>106</v>
      </c>
      <c r="H7" s="155" t="s">
        <v>105</v>
      </c>
      <c r="I7" s="155" t="s">
        <v>104</v>
      </c>
      <c r="J7" s="635"/>
      <c r="K7" s="635"/>
      <c r="L7" s="639"/>
      <c r="M7" s="209"/>
      <c r="N7" s="209"/>
      <c r="O7" s="209"/>
    </row>
    <row r="8" spans="1:19" ht="20.100000000000001" customHeight="1" x14ac:dyDescent="0.25">
      <c r="B8" s="158" t="s">
        <v>144</v>
      </c>
      <c r="C8" s="93">
        <f>'Hardy-Cross'!D19</f>
        <v>23.626799999999999</v>
      </c>
      <c r="D8" s="159">
        <f>'Hardy-Cross'!I19</f>
        <v>2</v>
      </c>
      <c r="E8" s="160">
        <f>'Hardy-Cross'!J19</f>
        <v>2</v>
      </c>
      <c r="F8" s="255">
        <f>'Hardy-Cross'!L19</f>
        <v>5.57E-2</v>
      </c>
      <c r="G8" s="200">
        <f>'Hardy-Cross'!G19</f>
        <v>3.1364743996943064E-4</v>
      </c>
      <c r="H8" s="201">
        <f>ABS((G8)/(0.2785*150*(F8^2.63)))^(1/0.54)</f>
        <v>4.153189175363978E-4</v>
      </c>
      <c r="I8" s="189">
        <f>H8*C8</f>
        <v>9.8126570008489639E-3</v>
      </c>
      <c r="J8" s="200">
        <f>I8/G8</f>
        <v>31.285627588114046</v>
      </c>
      <c r="K8" s="202">
        <f>(-$I$14)/(1.85*$J$14)</f>
        <v>-1.6795509657246838E-4</v>
      </c>
      <c r="L8" s="200">
        <f>G8+$K$8</f>
        <v>1.4569234339696226E-4</v>
      </c>
      <c r="M8" s="210"/>
      <c r="N8" s="210"/>
      <c r="O8" s="210"/>
    </row>
    <row r="9" spans="1:19" ht="20.100000000000001" customHeight="1" x14ac:dyDescent="0.25">
      <c r="B9" s="161" t="s">
        <v>40</v>
      </c>
      <c r="C9" s="94">
        <f>'Hardy-Cross'!D20</f>
        <v>828.37099999999998</v>
      </c>
      <c r="D9" s="164">
        <f>'Hardy-Cross'!I20</f>
        <v>1</v>
      </c>
      <c r="E9" s="163">
        <f>'Hardy-Cross'!J20</f>
        <v>2</v>
      </c>
      <c r="F9" s="256">
        <f>'Hardy-Cross'!L20</f>
        <v>5.57E-2</v>
      </c>
      <c r="G9" s="193">
        <f>'Hardy-Cross'!G20</f>
        <v>3.0958252554389554E-4</v>
      </c>
      <c r="H9" s="203">
        <f t="shared" ref="H9:H13" si="0">ABS((G9)/(0.2785*150*(F9^2.63)))^(1/0.54)</f>
        <v>4.054062145705475E-4</v>
      </c>
      <c r="I9" s="192">
        <f t="shared" ref="I9:I13" si="1">H9*C9</f>
        <v>0.33582675137001899</v>
      </c>
      <c r="J9" s="193">
        <f t="shared" ref="J9:J13" si="2">I9/G9</f>
        <v>1084.7729560317264</v>
      </c>
      <c r="K9" s="192"/>
      <c r="L9" s="193">
        <f t="shared" ref="L9:L13" si="3">G9+$K$8</f>
        <v>1.4162742897142716E-4</v>
      </c>
      <c r="M9" s="210"/>
      <c r="N9" s="210"/>
      <c r="O9" s="210"/>
    </row>
    <row r="10" spans="1:19" ht="20.100000000000001" customHeight="1" x14ac:dyDescent="0.25">
      <c r="B10" s="161" t="s">
        <v>145</v>
      </c>
      <c r="C10" s="94">
        <f>'Hardy-Cross'!D21</f>
        <v>6.3987999999999996</v>
      </c>
      <c r="D10" s="164">
        <f>'Hardy-Cross'!I21</f>
        <v>1</v>
      </c>
      <c r="E10" s="163">
        <f>'Hardy-Cross'!J21</f>
        <v>2</v>
      </c>
      <c r="F10" s="256">
        <f>'Hardy-Cross'!L21</f>
        <v>5.57E-2</v>
      </c>
      <c r="G10" s="193">
        <f>'Hardy-Cross'!G21</f>
        <v>1.6706397764088251E-4</v>
      </c>
      <c r="H10" s="203">
        <f t="shared" si="0"/>
        <v>1.2935734781114618E-4</v>
      </c>
      <c r="I10" s="192">
        <f t="shared" si="1"/>
        <v>8.277317971739621E-4</v>
      </c>
      <c r="J10" s="193">
        <f t="shared" si="2"/>
        <v>4.9545797296484722</v>
      </c>
      <c r="K10" s="192"/>
      <c r="L10" s="193">
        <f t="shared" si="3"/>
        <v>-8.9111893158586811E-7</v>
      </c>
      <c r="M10" s="210"/>
      <c r="N10" s="210"/>
      <c r="O10" s="210"/>
    </row>
    <row r="11" spans="1:19" ht="20.100000000000001" customHeight="1" x14ac:dyDescent="0.25">
      <c r="B11" s="161" t="s">
        <v>146</v>
      </c>
      <c r="C11" s="94">
        <f>'Hardy-Cross'!D22</f>
        <v>212.8605</v>
      </c>
      <c r="D11" s="164">
        <f>'Hardy-Cross'!I22</f>
        <v>1</v>
      </c>
      <c r="E11" s="163">
        <f>'Hardy-Cross'!J22</f>
        <v>2</v>
      </c>
      <c r="F11" s="256">
        <f>'Hardy-Cross'!L22</f>
        <v>5.57E-2</v>
      </c>
      <c r="G11" s="193">
        <f>'Hardy-Cross'!G22</f>
        <v>9.9577850893887168E-5</v>
      </c>
      <c r="H11" s="203">
        <f t="shared" si="0"/>
        <v>4.9618408248833907E-5</v>
      </c>
      <c r="I11" s="192">
        <f t="shared" si="1"/>
        <v>1.0561799189050911E-2</v>
      </c>
      <c r="J11" s="193">
        <f t="shared" si="2"/>
        <v>106.06574749545305</v>
      </c>
      <c r="K11" s="192"/>
      <c r="L11" s="193">
        <f t="shared" si="3"/>
        <v>-6.8377245678581211E-5</v>
      </c>
      <c r="M11" s="210"/>
      <c r="N11" s="210"/>
      <c r="O11" s="210"/>
    </row>
    <row r="12" spans="1:19" ht="20.100000000000001" customHeight="1" x14ac:dyDescent="0.25">
      <c r="B12" s="161" t="s">
        <v>147</v>
      </c>
      <c r="C12" s="94">
        <f>'Hardy-Cross'!D23</f>
        <v>349.82990000000001</v>
      </c>
      <c r="D12" s="164">
        <f>'Hardy-Cross'!I23</f>
        <v>1</v>
      </c>
      <c r="E12" s="163">
        <f>'Hardy-Cross'!J23</f>
        <v>2</v>
      </c>
      <c r="F12" s="256">
        <f>'Hardy-Cross'!L23</f>
        <v>5.57E-2</v>
      </c>
      <c r="G12" s="193">
        <f>'Hardy-Cross'!G23</f>
        <v>6.2955891209266022E-5</v>
      </c>
      <c r="H12" s="203">
        <f t="shared" si="0"/>
        <v>2.1227081425586253E-5</v>
      </c>
      <c r="I12" s="192">
        <f t="shared" si="1"/>
        <v>7.4258677724046967E-3</v>
      </c>
      <c r="J12" s="193">
        <f t="shared" si="2"/>
        <v>117.95350093164492</v>
      </c>
      <c r="K12" s="192"/>
      <c r="L12" s="193">
        <f t="shared" si="3"/>
        <v>-1.0499920536320236E-4</v>
      </c>
      <c r="M12" s="210"/>
      <c r="N12" s="210"/>
      <c r="O12" s="210"/>
    </row>
    <row r="13" spans="1:19" ht="20.100000000000001" customHeight="1" thickBot="1" x14ac:dyDescent="0.3">
      <c r="B13" s="171" t="s">
        <v>148</v>
      </c>
      <c r="C13" s="95">
        <f>'Hardy-Cross'!D24</f>
        <v>401.94900000000001</v>
      </c>
      <c r="D13" s="174">
        <f>'Hardy-Cross'!I24</f>
        <v>1</v>
      </c>
      <c r="E13" s="165">
        <f>'Hardy-Cross'!J24</f>
        <v>2</v>
      </c>
      <c r="F13" s="257">
        <f>'Hardy-Cross'!L24</f>
        <v>5.57E-2</v>
      </c>
      <c r="G13" s="197">
        <f>-'Hardy-Cross'!G24</f>
        <v>-6.6385233929258121E-5</v>
      </c>
      <c r="H13" s="204">
        <f t="shared" si="0"/>
        <v>2.3417897667984887E-5</v>
      </c>
      <c r="I13" s="196">
        <f t="shared" si="1"/>
        <v>9.4128005497488582E-3</v>
      </c>
      <c r="J13" s="197">
        <f t="shared" si="2"/>
        <v>-141.79057589492552</v>
      </c>
      <c r="K13" s="196"/>
      <c r="L13" s="197">
        <f t="shared" si="3"/>
        <v>-2.343403305017265E-4</v>
      </c>
      <c r="M13" s="210"/>
      <c r="N13" s="210"/>
      <c r="O13" s="210"/>
    </row>
    <row r="14" spans="1:19" s="208" customFormat="1" ht="45" customHeight="1" thickBot="1" x14ac:dyDescent="0.3">
      <c r="A14" s="211"/>
      <c r="B14" s="651" t="s">
        <v>55</v>
      </c>
      <c r="C14" s="624"/>
      <c r="D14" s="624"/>
      <c r="E14" s="624"/>
      <c r="F14" s="624"/>
      <c r="G14" s="624"/>
      <c r="H14" s="652"/>
      <c r="I14" s="212">
        <f>SUM(I8:I13)</f>
        <v>0.37386760767924637</v>
      </c>
      <c r="J14" s="212">
        <f>SUM(J8:J13)</f>
        <v>1203.2418358816612</v>
      </c>
      <c r="K14" s="198"/>
      <c r="L14" s="210"/>
      <c r="M14" s="210"/>
      <c r="N14" s="210"/>
      <c r="O14" s="210"/>
    </row>
    <row r="15" spans="1:19" s="208" customFormat="1" ht="30" customHeight="1" thickBot="1" x14ac:dyDescent="0.3">
      <c r="A15" s="273"/>
      <c r="B15" s="273"/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10"/>
      <c r="N15" s="210"/>
      <c r="O15" s="210"/>
    </row>
    <row r="16" spans="1:19" s="208" customFormat="1" ht="20.100000000000001" customHeight="1" x14ac:dyDescent="0.25">
      <c r="A16" s="273"/>
      <c r="B16" s="626" t="s">
        <v>136</v>
      </c>
      <c r="C16" s="627"/>
      <c r="D16" s="627"/>
      <c r="E16" s="627"/>
      <c r="F16" s="627"/>
      <c r="G16" s="627"/>
      <c r="H16" s="627"/>
      <c r="I16" s="627"/>
      <c r="J16" s="627"/>
      <c r="K16" s="627"/>
      <c r="L16" s="628"/>
      <c r="M16" s="211"/>
      <c r="N16" s="211"/>
      <c r="O16" s="211"/>
    </row>
    <row r="17" spans="1:15" s="208" customFormat="1" ht="20.100000000000001" customHeight="1" thickBot="1" x14ac:dyDescent="0.3">
      <c r="A17" s="273"/>
      <c r="B17" s="629"/>
      <c r="C17" s="630"/>
      <c r="D17" s="630"/>
      <c r="E17" s="630"/>
      <c r="F17" s="630"/>
      <c r="G17" s="630"/>
      <c r="H17" s="630"/>
      <c r="I17" s="630"/>
      <c r="J17" s="630"/>
      <c r="K17" s="630"/>
      <c r="L17" s="631"/>
      <c r="M17" s="211"/>
      <c r="N17" s="211"/>
      <c r="O17" s="211"/>
    </row>
    <row r="18" spans="1:15" s="208" customFormat="1" ht="20.100000000000001" customHeight="1" x14ac:dyDescent="0.25">
      <c r="A18" s="273"/>
      <c r="B18" s="634" t="s">
        <v>29</v>
      </c>
      <c r="C18" s="154" t="s">
        <v>97</v>
      </c>
      <c r="D18" s="636" t="s">
        <v>101</v>
      </c>
      <c r="E18" s="636"/>
      <c r="F18" s="637"/>
      <c r="G18" s="274" t="s">
        <v>112</v>
      </c>
      <c r="H18" s="154" t="s">
        <v>98</v>
      </c>
      <c r="I18" s="154" t="s">
        <v>96</v>
      </c>
      <c r="J18" s="634" t="s">
        <v>113</v>
      </c>
      <c r="K18" s="634" t="s">
        <v>114</v>
      </c>
      <c r="L18" s="638" t="s">
        <v>115</v>
      </c>
      <c r="M18" s="211"/>
      <c r="N18" s="211"/>
      <c r="O18" s="211"/>
    </row>
    <row r="19" spans="1:15" s="208" customFormat="1" ht="20.100000000000001" customHeight="1" thickBot="1" x14ac:dyDescent="0.3">
      <c r="A19" s="273"/>
      <c r="B19" s="635"/>
      <c r="C19" s="155" t="s">
        <v>104</v>
      </c>
      <c r="D19" s="157" t="s">
        <v>107</v>
      </c>
      <c r="E19" s="157" t="s">
        <v>107</v>
      </c>
      <c r="F19" s="156" t="s">
        <v>104</v>
      </c>
      <c r="G19" s="187" t="s">
        <v>106</v>
      </c>
      <c r="H19" s="155" t="s">
        <v>105</v>
      </c>
      <c r="I19" s="155" t="s">
        <v>104</v>
      </c>
      <c r="J19" s="635"/>
      <c r="K19" s="635"/>
      <c r="L19" s="639"/>
      <c r="M19" s="211"/>
      <c r="N19" s="211"/>
      <c r="O19" s="211"/>
    </row>
    <row r="20" spans="1:15" s="208" customFormat="1" ht="20.100000000000001" customHeight="1" x14ac:dyDescent="0.25">
      <c r="A20" s="273"/>
      <c r="B20" s="158" t="s">
        <v>144</v>
      </c>
      <c r="C20" s="169">
        <f>C8</f>
        <v>23.626799999999999</v>
      </c>
      <c r="D20" s="159">
        <f>D8</f>
        <v>2</v>
      </c>
      <c r="E20" s="160">
        <f>E8</f>
        <v>2</v>
      </c>
      <c r="F20" s="188">
        <f>F8</f>
        <v>5.57E-2</v>
      </c>
      <c r="G20" s="200">
        <f>ABS(L8)</f>
        <v>1.4569234339696226E-4</v>
      </c>
      <c r="H20" s="201">
        <f>ABS((G20)/(0.2785*150*(F20^2.63)))^(1/0.54)</f>
        <v>1.0039353660067211E-4</v>
      </c>
      <c r="I20" s="189">
        <f>H20*C20</f>
        <v>2.3719780105567597E-3</v>
      </c>
      <c r="J20" s="200">
        <f>I20/G20</f>
        <v>16.280732091005795</v>
      </c>
      <c r="K20" s="202">
        <f>(-I26)/(1.85*J26)</f>
        <v>-8.7916426608189045E-5</v>
      </c>
      <c r="L20" s="200">
        <f>G20+$K$20</f>
        <v>5.7775916788773215E-5</v>
      </c>
      <c r="M20" s="211"/>
      <c r="N20" s="211"/>
      <c r="O20" s="211"/>
    </row>
    <row r="21" spans="1:15" s="208" customFormat="1" ht="20.100000000000001" customHeight="1" x14ac:dyDescent="0.25">
      <c r="A21" s="273"/>
      <c r="B21" s="161" t="s">
        <v>40</v>
      </c>
      <c r="C21" s="170">
        <f t="shared" ref="C21:F25" si="4">C9</f>
        <v>828.37099999999998</v>
      </c>
      <c r="D21" s="164">
        <f t="shared" si="4"/>
        <v>1</v>
      </c>
      <c r="E21" s="163">
        <f t="shared" si="4"/>
        <v>2</v>
      </c>
      <c r="F21" s="191">
        <f t="shared" si="4"/>
        <v>5.57E-2</v>
      </c>
      <c r="G21" s="193">
        <f t="shared" ref="G21:G25" si="5">ABS(L9)</f>
        <v>1.4162742897142716E-4</v>
      </c>
      <c r="H21" s="203">
        <f t="shared" ref="H21:H25" si="6">ABS((G21)/(0.2785*150*(F21^2.63)))^(1/0.54)</f>
        <v>9.5268139532957274E-5</v>
      </c>
      <c r="I21" s="192">
        <f t="shared" ref="I21:I25" si="7">H21*C21</f>
        <v>7.8917364013055352E-2</v>
      </c>
      <c r="J21" s="193">
        <f t="shared" ref="J21:J25" si="8">I21/G21</f>
        <v>557.21807976177161</v>
      </c>
      <c r="K21" s="192"/>
      <c r="L21" s="193">
        <f t="shared" ref="L21:L25" si="9">G21+$K$20</f>
        <v>5.3711002363238119E-5</v>
      </c>
      <c r="M21" s="211"/>
      <c r="N21" s="211"/>
      <c r="O21" s="211"/>
    </row>
    <row r="22" spans="1:15" s="208" customFormat="1" ht="20.100000000000001" customHeight="1" x14ac:dyDescent="0.25">
      <c r="A22" s="273"/>
      <c r="B22" s="161" t="s">
        <v>145</v>
      </c>
      <c r="C22" s="170">
        <f t="shared" si="4"/>
        <v>6.3987999999999996</v>
      </c>
      <c r="D22" s="164">
        <f t="shared" si="4"/>
        <v>1</v>
      </c>
      <c r="E22" s="163">
        <f t="shared" si="4"/>
        <v>2</v>
      </c>
      <c r="F22" s="191">
        <f t="shared" si="4"/>
        <v>5.57E-2</v>
      </c>
      <c r="G22" s="193">
        <f t="shared" si="5"/>
        <v>8.9111893158586811E-7</v>
      </c>
      <c r="H22" s="203">
        <f t="shared" si="6"/>
        <v>7.9915260450090883E-9</v>
      </c>
      <c r="I22" s="192">
        <f t="shared" si="7"/>
        <v>5.1136176856804153E-8</v>
      </c>
      <c r="J22" s="193">
        <f t="shared" si="8"/>
        <v>5.7384233511682134E-2</v>
      </c>
      <c r="K22" s="192"/>
      <c r="L22" s="193">
        <f t="shared" si="9"/>
        <v>-8.7025307676603177E-5</v>
      </c>
      <c r="M22" s="211"/>
      <c r="N22" s="211"/>
      <c r="O22" s="211"/>
    </row>
    <row r="23" spans="1:15" s="208" customFormat="1" ht="20.100000000000001" customHeight="1" x14ac:dyDescent="0.25">
      <c r="A23" s="273"/>
      <c r="B23" s="161" t="s">
        <v>146</v>
      </c>
      <c r="C23" s="170">
        <f t="shared" si="4"/>
        <v>212.8605</v>
      </c>
      <c r="D23" s="164">
        <f t="shared" si="4"/>
        <v>1</v>
      </c>
      <c r="E23" s="163">
        <f t="shared" si="4"/>
        <v>2</v>
      </c>
      <c r="F23" s="191">
        <f t="shared" si="4"/>
        <v>5.57E-2</v>
      </c>
      <c r="G23" s="193">
        <f t="shared" si="5"/>
        <v>6.8377245678581211E-5</v>
      </c>
      <c r="H23" s="203">
        <f t="shared" si="6"/>
        <v>2.4735796011757715E-5</v>
      </c>
      <c r="I23" s="192">
        <f t="shared" si="7"/>
        <v>5.265273906960753E-3</v>
      </c>
      <c r="J23" s="193">
        <f t="shared" si="8"/>
        <v>77.003305042602364</v>
      </c>
      <c r="K23" s="192"/>
      <c r="L23" s="193">
        <f t="shared" si="9"/>
        <v>-1.9539180929607834E-5</v>
      </c>
      <c r="M23" s="211"/>
      <c r="N23" s="211"/>
      <c r="O23" s="211"/>
    </row>
    <row r="24" spans="1:15" s="208" customFormat="1" ht="20.100000000000001" customHeight="1" x14ac:dyDescent="0.25">
      <c r="A24" s="273"/>
      <c r="B24" s="161" t="s">
        <v>147</v>
      </c>
      <c r="C24" s="170">
        <f t="shared" si="4"/>
        <v>349.82990000000001</v>
      </c>
      <c r="D24" s="164">
        <f t="shared" si="4"/>
        <v>1</v>
      </c>
      <c r="E24" s="163">
        <f t="shared" si="4"/>
        <v>2</v>
      </c>
      <c r="F24" s="191">
        <f t="shared" si="4"/>
        <v>5.57E-2</v>
      </c>
      <c r="G24" s="193">
        <f t="shared" si="5"/>
        <v>1.0499920536320236E-4</v>
      </c>
      <c r="H24" s="203">
        <f t="shared" si="6"/>
        <v>5.4736686135866161E-5</v>
      </c>
      <c r="I24" s="192">
        <f t="shared" si="7"/>
        <v>1.9148529437241445E-2</v>
      </c>
      <c r="J24" s="193">
        <f t="shared" si="8"/>
        <v>182.36832717928522</v>
      </c>
      <c r="K24" s="192"/>
      <c r="L24" s="193">
        <f t="shared" si="9"/>
        <v>1.7082778755013312E-5</v>
      </c>
      <c r="M24" s="211"/>
      <c r="N24" s="211"/>
      <c r="O24" s="211"/>
    </row>
    <row r="25" spans="1:15" s="208" customFormat="1" ht="20.100000000000001" customHeight="1" thickBot="1" x14ac:dyDescent="0.3">
      <c r="A25" s="273"/>
      <c r="B25" s="171" t="s">
        <v>148</v>
      </c>
      <c r="C25" s="194">
        <f t="shared" si="4"/>
        <v>401.94900000000001</v>
      </c>
      <c r="D25" s="174">
        <f t="shared" si="4"/>
        <v>1</v>
      </c>
      <c r="E25" s="165">
        <f t="shared" si="4"/>
        <v>2</v>
      </c>
      <c r="F25" s="195">
        <f t="shared" si="4"/>
        <v>5.57E-2</v>
      </c>
      <c r="G25" s="197">
        <f t="shared" si="5"/>
        <v>2.343403305017265E-4</v>
      </c>
      <c r="H25" s="204">
        <f t="shared" si="6"/>
        <v>2.4207339834977532E-4</v>
      </c>
      <c r="I25" s="196">
        <f t="shared" si="7"/>
        <v>9.730116039329384E-2</v>
      </c>
      <c r="J25" s="197">
        <f t="shared" si="8"/>
        <v>415.2130373161566</v>
      </c>
      <c r="K25" s="196"/>
      <c r="L25" s="197">
        <f t="shared" si="9"/>
        <v>1.4642390389353746E-4</v>
      </c>
      <c r="M25" s="211"/>
      <c r="N25" s="211"/>
      <c r="O25" s="211"/>
    </row>
    <row r="26" spans="1:15" s="208" customFormat="1" ht="45" customHeight="1" thickBot="1" x14ac:dyDescent="0.3">
      <c r="A26" s="273"/>
      <c r="B26" s="651" t="s">
        <v>55</v>
      </c>
      <c r="C26" s="624"/>
      <c r="D26" s="624"/>
      <c r="E26" s="624"/>
      <c r="F26" s="624"/>
      <c r="G26" s="624"/>
      <c r="H26" s="652"/>
      <c r="I26" s="212">
        <f>SUM(I20:I25)</f>
        <v>0.20300435689728502</v>
      </c>
      <c r="J26" s="212">
        <f>SUM(J20:J25)</f>
        <v>1248.1408656243334</v>
      </c>
      <c r="K26" s="198"/>
      <c r="L26" s="272"/>
      <c r="M26" s="211"/>
      <c r="N26" s="211"/>
      <c r="O26" s="211"/>
    </row>
    <row r="27" spans="1:15" s="208" customFormat="1" ht="30" customHeight="1" thickBot="1" x14ac:dyDescent="0.3">
      <c r="A27" s="273"/>
      <c r="B27" s="273"/>
      <c r="C27" s="273"/>
      <c r="D27" s="273"/>
      <c r="E27" s="273"/>
      <c r="F27" s="273"/>
      <c r="G27" s="273"/>
      <c r="H27" s="273"/>
      <c r="I27" s="273"/>
      <c r="J27" s="273"/>
      <c r="K27" s="273"/>
      <c r="L27" s="273"/>
      <c r="M27" s="211"/>
      <c r="N27" s="211"/>
      <c r="O27" s="211"/>
    </row>
    <row r="28" spans="1:15" s="208" customFormat="1" ht="20.100000000000001" customHeight="1" x14ac:dyDescent="0.25">
      <c r="A28" s="273"/>
      <c r="B28" s="626" t="s">
        <v>136</v>
      </c>
      <c r="C28" s="627"/>
      <c r="D28" s="627"/>
      <c r="E28" s="627"/>
      <c r="F28" s="627"/>
      <c r="G28" s="627"/>
      <c r="H28" s="627"/>
      <c r="I28" s="627"/>
      <c r="J28" s="627"/>
      <c r="K28" s="627"/>
      <c r="L28" s="628"/>
      <c r="M28" s="211"/>
      <c r="N28" s="211"/>
      <c r="O28" s="211"/>
    </row>
    <row r="29" spans="1:15" s="208" customFormat="1" ht="20.100000000000001" customHeight="1" thickBot="1" x14ac:dyDescent="0.3">
      <c r="A29" s="273"/>
      <c r="B29" s="629"/>
      <c r="C29" s="630"/>
      <c r="D29" s="630"/>
      <c r="E29" s="630"/>
      <c r="F29" s="630"/>
      <c r="G29" s="630"/>
      <c r="H29" s="630"/>
      <c r="I29" s="630"/>
      <c r="J29" s="630"/>
      <c r="K29" s="630"/>
      <c r="L29" s="631"/>
      <c r="M29" s="211"/>
      <c r="N29" s="211"/>
      <c r="O29" s="211"/>
    </row>
    <row r="30" spans="1:15" s="208" customFormat="1" ht="20.100000000000001" customHeight="1" x14ac:dyDescent="0.25">
      <c r="A30" s="273"/>
      <c r="B30" s="634" t="s">
        <v>29</v>
      </c>
      <c r="C30" s="154" t="s">
        <v>97</v>
      </c>
      <c r="D30" s="636" t="s">
        <v>101</v>
      </c>
      <c r="E30" s="636"/>
      <c r="F30" s="637"/>
      <c r="G30" s="274" t="s">
        <v>112</v>
      </c>
      <c r="H30" s="154" t="s">
        <v>98</v>
      </c>
      <c r="I30" s="154" t="s">
        <v>96</v>
      </c>
      <c r="J30" s="634" t="s">
        <v>113</v>
      </c>
      <c r="K30" s="634" t="s">
        <v>114</v>
      </c>
      <c r="L30" s="638" t="s">
        <v>115</v>
      </c>
      <c r="M30" s="211"/>
      <c r="N30" s="211"/>
      <c r="O30" s="211"/>
    </row>
    <row r="31" spans="1:15" s="208" customFormat="1" ht="20.100000000000001" customHeight="1" thickBot="1" x14ac:dyDescent="0.3">
      <c r="A31" s="273"/>
      <c r="B31" s="635"/>
      <c r="C31" s="155" t="s">
        <v>104</v>
      </c>
      <c r="D31" s="157" t="s">
        <v>107</v>
      </c>
      <c r="E31" s="157" t="s">
        <v>107</v>
      </c>
      <c r="F31" s="156" t="s">
        <v>104</v>
      </c>
      <c r="G31" s="187" t="s">
        <v>106</v>
      </c>
      <c r="H31" s="155" t="s">
        <v>105</v>
      </c>
      <c r="I31" s="155" t="s">
        <v>104</v>
      </c>
      <c r="J31" s="635"/>
      <c r="K31" s="635"/>
      <c r="L31" s="639"/>
      <c r="M31" s="211"/>
      <c r="N31" s="211"/>
      <c r="O31" s="211"/>
    </row>
    <row r="32" spans="1:15" s="208" customFormat="1" ht="20.100000000000001" customHeight="1" x14ac:dyDescent="0.25">
      <c r="A32" s="273"/>
      <c r="B32" s="158" t="s">
        <v>144</v>
      </c>
      <c r="C32" s="169">
        <f>C20</f>
        <v>23.626799999999999</v>
      </c>
      <c r="D32" s="159">
        <f>D20</f>
        <v>2</v>
      </c>
      <c r="E32" s="160">
        <f>E20</f>
        <v>2</v>
      </c>
      <c r="F32" s="188">
        <f>F20</f>
        <v>5.57E-2</v>
      </c>
      <c r="G32" s="200">
        <f>ABS(L20)</f>
        <v>5.7775916788773215E-5</v>
      </c>
      <c r="H32" s="201">
        <f>ABS((G32)/(0.2785*150*(F32^2.63)))^(1/0.54)</f>
        <v>1.810654546522235E-5</v>
      </c>
      <c r="I32" s="189">
        <f>H32*C32</f>
        <v>4.2779972839771538E-4</v>
      </c>
      <c r="J32" s="200">
        <f>I32/G32</f>
        <v>7.4044645619685552</v>
      </c>
      <c r="K32" s="202">
        <f>(-I38)/(1.85*J38)</f>
        <v>-5.0364002301692468E-5</v>
      </c>
      <c r="L32" s="200">
        <f>G32+$K$32</f>
        <v>7.4119144870807475E-6</v>
      </c>
      <c r="M32" s="211"/>
      <c r="N32" s="211"/>
      <c r="O32" s="211"/>
    </row>
    <row r="33" spans="1:15" s="208" customFormat="1" ht="20.100000000000001" customHeight="1" x14ac:dyDescent="0.25">
      <c r="A33" s="273"/>
      <c r="B33" s="161" t="s">
        <v>40</v>
      </c>
      <c r="C33" s="170">
        <f t="shared" ref="C33:F33" si="10">C21</f>
        <v>828.37099999999998</v>
      </c>
      <c r="D33" s="164">
        <f t="shared" si="10"/>
        <v>1</v>
      </c>
      <c r="E33" s="163">
        <f t="shared" si="10"/>
        <v>2</v>
      </c>
      <c r="F33" s="191">
        <f t="shared" si="10"/>
        <v>5.57E-2</v>
      </c>
      <c r="G33" s="193">
        <f t="shared" ref="G33:G37" si="11">ABS(L21)</f>
        <v>5.3711002363238119E-5</v>
      </c>
      <c r="H33" s="203">
        <f t="shared" ref="H33:H37" si="12">ABS((G33)/(0.2785*150*(F33^2.63)))^(1/0.54)</f>
        <v>1.581839033040097E-5</v>
      </c>
      <c r="I33" s="192">
        <f t="shared" ref="I33:I37" si="13">H33*C33</f>
        <v>1.3103495816384581E-2</v>
      </c>
      <c r="J33" s="193">
        <f t="shared" ref="J33:J37" si="14">I33/G33</f>
        <v>243.96297294487132</v>
      </c>
      <c r="K33" s="192"/>
      <c r="L33" s="193">
        <f t="shared" ref="L33:L37" si="15">G33+$K$32</f>
        <v>3.3470000615456514E-6</v>
      </c>
      <c r="M33" s="211"/>
      <c r="N33" s="211"/>
      <c r="O33" s="211"/>
    </row>
    <row r="34" spans="1:15" s="208" customFormat="1" ht="20.100000000000001" customHeight="1" x14ac:dyDescent="0.25">
      <c r="A34" s="273"/>
      <c r="B34" s="161" t="s">
        <v>145</v>
      </c>
      <c r="C34" s="170">
        <f t="shared" ref="C34:F34" si="16">C22</f>
        <v>6.3987999999999996</v>
      </c>
      <c r="D34" s="164">
        <f t="shared" si="16"/>
        <v>1</v>
      </c>
      <c r="E34" s="163">
        <f t="shared" si="16"/>
        <v>2</v>
      </c>
      <c r="F34" s="191">
        <f t="shared" si="16"/>
        <v>5.57E-2</v>
      </c>
      <c r="G34" s="193">
        <f t="shared" si="11"/>
        <v>8.7025307676603177E-5</v>
      </c>
      <c r="H34" s="203">
        <f t="shared" si="12"/>
        <v>3.866140893140217E-5</v>
      </c>
      <c r="I34" s="192">
        <f t="shared" si="13"/>
        <v>2.4738662347025621E-4</v>
      </c>
      <c r="J34" s="193">
        <f t="shared" si="14"/>
        <v>2.8426974873743114</v>
      </c>
      <c r="K34" s="192"/>
      <c r="L34" s="193">
        <f t="shared" si="15"/>
        <v>3.6661305374910709E-5</v>
      </c>
      <c r="M34" s="211"/>
      <c r="N34" s="211"/>
      <c r="O34" s="211"/>
    </row>
    <row r="35" spans="1:15" s="208" customFormat="1" ht="20.100000000000001" customHeight="1" x14ac:dyDescent="0.25">
      <c r="A35" s="273"/>
      <c r="B35" s="161" t="s">
        <v>146</v>
      </c>
      <c r="C35" s="170">
        <f t="shared" ref="C35:F35" si="17">C23</f>
        <v>212.8605</v>
      </c>
      <c r="D35" s="164">
        <f t="shared" si="17"/>
        <v>1</v>
      </c>
      <c r="E35" s="163">
        <f t="shared" si="17"/>
        <v>2</v>
      </c>
      <c r="F35" s="191">
        <f t="shared" si="17"/>
        <v>5.57E-2</v>
      </c>
      <c r="G35" s="193">
        <f t="shared" si="11"/>
        <v>1.9539180929607834E-5</v>
      </c>
      <c r="H35" s="203">
        <f t="shared" si="12"/>
        <v>2.4316931083443451E-6</v>
      </c>
      <c r="I35" s="192">
        <f t="shared" si="13"/>
        <v>5.1761141088873142E-4</v>
      </c>
      <c r="J35" s="193">
        <f t="shared" si="14"/>
        <v>26.490947228212203</v>
      </c>
      <c r="K35" s="192"/>
      <c r="L35" s="193">
        <f t="shared" si="15"/>
        <v>-3.0824821372084634E-5</v>
      </c>
      <c r="M35" s="211"/>
      <c r="N35" s="211"/>
      <c r="O35" s="211"/>
    </row>
    <row r="36" spans="1:15" s="208" customFormat="1" ht="20.100000000000001" customHeight="1" x14ac:dyDescent="0.25">
      <c r="A36" s="273"/>
      <c r="B36" s="161" t="s">
        <v>147</v>
      </c>
      <c r="C36" s="170">
        <f t="shared" ref="C36:F36" si="18">C24</f>
        <v>349.82990000000001</v>
      </c>
      <c r="D36" s="164">
        <f t="shared" si="18"/>
        <v>1</v>
      </c>
      <c r="E36" s="163">
        <f t="shared" si="18"/>
        <v>2</v>
      </c>
      <c r="F36" s="191">
        <f t="shared" si="18"/>
        <v>5.57E-2</v>
      </c>
      <c r="G36" s="193">
        <f t="shared" si="11"/>
        <v>1.7082778755013312E-5</v>
      </c>
      <c r="H36" s="203">
        <f t="shared" si="12"/>
        <v>1.8960824208276623E-6</v>
      </c>
      <c r="I36" s="192">
        <f t="shared" si="13"/>
        <v>6.6330632366989905E-4</v>
      </c>
      <c r="J36" s="193">
        <f t="shared" si="14"/>
        <v>38.82894774804933</v>
      </c>
      <c r="K36" s="192"/>
      <c r="L36" s="193">
        <f t="shared" si="15"/>
        <v>-3.3281223546679156E-5</v>
      </c>
      <c r="M36" s="211"/>
      <c r="N36" s="211"/>
      <c r="O36" s="211"/>
    </row>
    <row r="37" spans="1:15" s="208" customFormat="1" ht="20.100000000000001" customHeight="1" thickBot="1" x14ac:dyDescent="0.3">
      <c r="A37" s="273"/>
      <c r="B37" s="171" t="s">
        <v>148</v>
      </c>
      <c r="C37" s="194">
        <f t="shared" ref="C37:F37" si="19">C25</f>
        <v>401.94900000000001</v>
      </c>
      <c r="D37" s="174">
        <f t="shared" si="19"/>
        <v>1</v>
      </c>
      <c r="E37" s="165">
        <f t="shared" si="19"/>
        <v>2</v>
      </c>
      <c r="F37" s="195">
        <f t="shared" si="19"/>
        <v>5.57E-2</v>
      </c>
      <c r="G37" s="197">
        <f t="shared" si="11"/>
        <v>1.4642390389353746E-4</v>
      </c>
      <c r="H37" s="204">
        <f t="shared" si="12"/>
        <v>1.0132905667373094E-4</v>
      </c>
      <c r="I37" s="196">
        <f t="shared" si="13"/>
        <v>4.0729113000949481E-2</v>
      </c>
      <c r="J37" s="197">
        <f t="shared" si="14"/>
        <v>278.15890655779117</v>
      </c>
      <c r="K37" s="196"/>
      <c r="L37" s="197">
        <f t="shared" si="15"/>
        <v>9.6059901591844988E-5</v>
      </c>
      <c r="M37" s="211"/>
      <c r="N37" s="211"/>
      <c r="O37" s="211"/>
    </row>
    <row r="38" spans="1:15" s="208" customFormat="1" ht="45" customHeight="1" thickBot="1" x14ac:dyDescent="0.3">
      <c r="A38" s="273"/>
      <c r="B38" s="651" t="s">
        <v>55</v>
      </c>
      <c r="C38" s="624"/>
      <c r="D38" s="624"/>
      <c r="E38" s="624"/>
      <c r="F38" s="624"/>
      <c r="G38" s="624"/>
      <c r="H38" s="652"/>
      <c r="I38" s="212">
        <f>SUM(I32:I37)</f>
        <v>5.5688712903760665E-2</v>
      </c>
      <c r="J38" s="212">
        <f>SUM(J32:J37)</f>
        <v>597.68893652826694</v>
      </c>
      <c r="K38" s="198"/>
      <c r="L38" s="272"/>
      <c r="M38" s="211"/>
      <c r="N38" s="211"/>
      <c r="O38" s="211"/>
    </row>
    <row r="39" spans="1:15" s="208" customFormat="1" ht="30" customHeight="1" thickBot="1" x14ac:dyDescent="0.3">
      <c r="A39" s="273"/>
      <c r="B39" s="273"/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211"/>
      <c r="N39" s="211"/>
      <c r="O39" s="211"/>
    </row>
    <row r="40" spans="1:15" s="208" customFormat="1" ht="20.100000000000001" customHeight="1" x14ac:dyDescent="0.25">
      <c r="A40" s="273"/>
      <c r="B40" s="626" t="s">
        <v>136</v>
      </c>
      <c r="C40" s="627"/>
      <c r="D40" s="627"/>
      <c r="E40" s="627"/>
      <c r="F40" s="627"/>
      <c r="G40" s="627"/>
      <c r="H40" s="627"/>
      <c r="I40" s="627"/>
      <c r="J40" s="627"/>
      <c r="K40" s="627"/>
      <c r="L40" s="628"/>
      <c r="M40" s="210"/>
      <c r="N40" s="210"/>
      <c r="O40" s="210"/>
    </row>
    <row r="41" spans="1:15" s="208" customFormat="1" ht="20.100000000000001" customHeight="1" thickBot="1" x14ac:dyDescent="0.3">
      <c r="A41" s="273"/>
      <c r="B41" s="629"/>
      <c r="C41" s="630"/>
      <c r="D41" s="630"/>
      <c r="E41" s="630"/>
      <c r="F41" s="630"/>
      <c r="G41" s="630"/>
      <c r="H41" s="630"/>
      <c r="I41" s="630"/>
      <c r="J41" s="630"/>
      <c r="K41" s="630"/>
      <c r="L41" s="631"/>
      <c r="M41" s="211"/>
      <c r="N41" s="211"/>
      <c r="O41" s="211"/>
    </row>
    <row r="42" spans="1:15" s="208" customFormat="1" ht="20.100000000000001" customHeight="1" x14ac:dyDescent="0.25">
      <c r="A42" s="273"/>
      <c r="B42" s="634" t="s">
        <v>29</v>
      </c>
      <c r="C42" s="154" t="s">
        <v>97</v>
      </c>
      <c r="D42" s="636" t="s">
        <v>101</v>
      </c>
      <c r="E42" s="636"/>
      <c r="F42" s="637"/>
      <c r="G42" s="274" t="s">
        <v>112</v>
      </c>
      <c r="H42" s="154" t="s">
        <v>98</v>
      </c>
      <c r="I42" s="154" t="s">
        <v>96</v>
      </c>
      <c r="J42" s="634" t="s">
        <v>113</v>
      </c>
      <c r="K42" s="634" t="s">
        <v>114</v>
      </c>
      <c r="L42" s="638" t="s">
        <v>115</v>
      </c>
      <c r="M42" s="211"/>
      <c r="N42" s="211"/>
      <c r="O42" s="211"/>
    </row>
    <row r="43" spans="1:15" s="208" customFormat="1" ht="20.100000000000001" customHeight="1" thickBot="1" x14ac:dyDescent="0.3">
      <c r="A43" s="273"/>
      <c r="B43" s="635"/>
      <c r="C43" s="155" t="s">
        <v>104</v>
      </c>
      <c r="D43" s="157" t="s">
        <v>107</v>
      </c>
      <c r="E43" s="157" t="s">
        <v>107</v>
      </c>
      <c r="F43" s="156" t="s">
        <v>104</v>
      </c>
      <c r="G43" s="187" t="s">
        <v>106</v>
      </c>
      <c r="H43" s="155" t="s">
        <v>105</v>
      </c>
      <c r="I43" s="155" t="s">
        <v>104</v>
      </c>
      <c r="J43" s="635"/>
      <c r="K43" s="635"/>
      <c r="L43" s="639"/>
      <c r="M43" s="211"/>
      <c r="N43" s="211"/>
      <c r="O43" s="211"/>
    </row>
    <row r="44" spans="1:15" s="208" customFormat="1" ht="20.100000000000001" customHeight="1" x14ac:dyDescent="0.25">
      <c r="A44" s="273"/>
      <c r="B44" s="158" t="s">
        <v>144</v>
      </c>
      <c r="C44" s="169">
        <f>C32</f>
        <v>23.626799999999999</v>
      </c>
      <c r="D44" s="159">
        <f>D32</f>
        <v>2</v>
      </c>
      <c r="E44" s="160">
        <f>E32</f>
        <v>2</v>
      </c>
      <c r="F44" s="188">
        <f>F32</f>
        <v>5.57E-2</v>
      </c>
      <c r="G44" s="200">
        <f>ABS(L32)</f>
        <v>7.4119144870807475E-6</v>
      </c>
      <c r="H44" s="201">
        <f>ABS((G44)/(0.2785*150*(F44^2.63)))^(1/0.54)</f>
        <v>4.0394632689898039E-7</v>
      </c>
      <c r="I44" s="189">
        <f>H44*C44</f>
        <v>9.5439590763768304E-6</v>
      </c>
      <c r="J44" s="200">
        <f>I44/G44</f>
        <v>1.2876509966503686</v>
      </c>
      <c r="K44" s="202">
        <f>(-I50)/(1.85*J50)</f>
        <v>-3.6782326477699124E-5</v>
      </c>
      <c r="L44" s="200">
        <f>G44+$K$44</f>
        <v>-2.9370411990618377E-5</v>
      </c>
      <c r="M44" s="211"/>
      <c r="N44" s="211"/>
      <c r="O44" s="211"/>
    </row>
    <row r="45" spans="1:15" s="208" customFormat="1" ht="20.100000000000001" customHeight="1" x14ac:dyDescent="0.25">
      <c r="A45" s="273"/>
      <c r="B45" s="161" t="s">
        <v>40</v>
      </c>
      <c r="C45" s="170">
        <f t="shared" ref="C45:F45" si="20">C33</f>
        <v>828.37099999999998</v>
      </c>
      <c r="D45" s="164">
        <f t="shared" si="20"/>
        <v>1</v>
      </c>
      <c r="E45" s="163">
        <f t="shared" si="20"/>
        <v>2</v>
      </c>
      <c r="F45" s="191">
        <f t="shared" si="20"/>
        <v>5.57E-2</v>
      </c>
      <c r="G45" s="193">
        <f t="shared" ref="G45:G49" si="21">ABS(L33)</f>
        <v>3.3470000615456514E-6</v>
      </c>
      <c r="H45" s="203">
        <f t="shared" ref="H45:H49" si="22">ABS((G45)/(0.2785*150*(F45^2.63)))^(1/0.54)</f>
        <v>9.2667214413961718E-8</v>
      </c>
      <c r="I45" s="192">
        <f t="shared" ref="I45:I49" si="23">H45*C45</f>
        <v>7.6762833071307882E-5</v>
      </c>
      <c r="J45" s="193">
        <f t="shared" ref="J45:J49" si="24">I45/G45</f>
        <v>22.934816749258932</v>
      </c>
      <c r="K45" s="192"/>
      <c r="L45" s="193">
        <f t="shared" ref="L45:L49" si="25">G45+$K$44</f>
        <v>-3.3435326416153473E-5</v>
      </c>
      <c r="M45" s="211"/>
      <c r="N45" s="211"/>
      <c r="O45" s="211"/>
    </row>
    <row r="46" spans="1:15" s="208" customFormat="1" ht="20.100000000000001" customHeight="1" x14ac:dyDescent="0.25">
      <c r="A46" s="273"/>
      <c r="B46" s="161" t="s">
        <v>145</v>
      </c>
      <c r="C46" s="170">
        <f t="shared" ref="C46:F46" si="26">C34</f>
        <v>6.3987999999999996</v>
      </c>
      <c r="D46" s="164">
        <f t="shared" si="26"/>
        <v>1</v>
      </c>
      <c r="E46" s="163">
        <f t="shared" si="26"/>
        <v>2</v>
      </c>
      <c r="F46" s="191">
        <f t="shared" si="26"/>
        <v>5.57E-2</v>
      </c>
      <c r="G46" s="193">
        <f t="shared" si="21"/>
        <v>3.6661305374910709E-5</v>
      </c>
      <c r="H46" s="203">
        <f t="shared" si="22"/>
        <v>7.7987102081364453E-6</v>
      </c>
      <c r="I46" s="192">
        <f t="shared" si="23"/>
        <v>4.9902386879823483E-5</v>
      </c>
      <c r="J46" s="193">
        <f t="shared" si="24"/>
        <v>1.3611732143606199</v>
      </c>
      <c r="K46" s="192"/>
      <c r="L46" s="193">
        <f t="shared" si="25"/>
        <v>-1.210211027884156E-7</v>
      </c>
      <c r="M46" s="211"/>
      <c r="N46" s="211"/>
      <c r="O46" s="211"/>
    </row>
    <row r="47" spans="1:15" s="208" customFormat="1" ht="20.100000000000001" customHeight="1" x14ac:dyDescent="0.25">
      <c r="A47" s="273"/>
      <c r="B47" s="161" t="s">
        <v>146</v>
      </c>
      <c r="C47" s="170">
        <f t="shared" ref="C47:F47" si="27">C35</f>
        <v>212.8605</v>
      </c>
      <c r="D47" s="164">
        <f t="shared" si="27"/>
        <v>1</v>
      </c>
      <c r="E47" s="163">
        <f t="shared" si="27"/>
        <v>2</v>
      </c>
      <c r="F47" s="191">
        <f t="shared" si="27"/>
        <v>5.57E-2</v>
      </c>
      <c r="G47" s="193">
        <f t="shared" si="21"/>
        <v>3.0824821372084634E-5</v>
      </c>
      <c r="H47" s="203">
        <f t="shared" si="22"/>
        <v>5.656720440463942E-6</v>
      </c>
      <c r="I47" s="192">
        <f t="shared" si="23"/>
        <v>1.2040923413173749E-3</v>
      </c>
      <c r="J47" s="193">
        <f t="shared" si="24"/>
        <v>39.06242721678241</v>
      </c>
      <c r="K47" s="192"/>
      <c r="L47" s="193">
        <f t="shared" si="25"/>
        <v>-5.9575051056144906E-6</v>
      </c>
      <c r="M47" s="211"/>
      <c r="N47" s="211"/>
      <c r="O47" s="211"/>
    </row>
    <row r="48" spans="1:15" s="208" customFormat="1" ht="20.100000000000001" customHeight="1" x14ac:dyDescent="0.25">
      <c r="A48" s="273"/>
      <c r="B48" s="161" t="s">
        <v>147</v>
      </c>
      <c r="C48" s="170">
        <f t="shared" ref="C48:F48" si="28">C36</f>
        <v>349.82990000000001</v>
      </c>
      <c r="D48" s="164">
        <f t="shared" si="28"/>
        <v>1</v>
      </c>
      <c r="E48" s="163">
        <f t="shared" si="28"/>
        <v>2</v>
      </c>
      <c r="F48" s="191">
        <f t="shared" si="28"/>
        <v>5.57E-2</v>
      </c>
      <c r="G48" s="193">
        <f t="shared" si="21"/>
        <v>3.3281223546679156E-5</v>
      </c>
      <c r="H48" s="203">
        <f t="shared" si="22"/>
        <v>6.519720897315006E-6</v>
      </c>
      <c r="I48" s="192">
        <f t="shared" si="23"/>
        <v>2.2807933095356191E-3</v>
      </c>
      <c r="J48" s="193">
        <f t="shared" si="24"/>
        <v>68.530933255403099</v>
      </c>
      <c r="K48" s="192"/>
      <c r="L48" s="193">
        <f t="shared" si="25"/>
        <v>-3.5011029310199688E-6</v>
      </c>
      <c r="M48" s="211"/>
      <c r="N48" s="211"/>
      <c r="O48" s="211"/>
    </row>
    <row r="49" spans="1:15" s="208" customFormat="1" ht="20.100000000000001" customHeight="1" thickBot="1" x14ac:dyDescent="0.3">
      <c r="A49" s="273"/>
      <c r="B49" s="171" t="s">
        <v>148</v>
      </c>
      <c r="C49" s="194">
        <f t="shared" ref="C49:F49" si="29">C37</f>
        <v>401.94900000000001</v>
      </c>
      <c r="D49" s="174">
        <f t="shared" si="29"/>
        <v>1</v>
      </c>
      <c r="E49" s="165">
        <f t="shared" si="29"/>
        <v>2</v>
      </c>
      <c r="F49" s="195">
        <f t="shared" si="29"/>
        <v>5.57E-2</v>
      </c>
      <c r="G49" s="197">
        <f t="shared" si="21"/>
        <v>9.6059901591844988E-5</v>
      </c>
      <c r="H49" s="204">
        <f t="shared" si="22"/>
        <v>4.6421136571343388E-5</v>
      </c>
      <c r="I49" s="196">
        <f t="shared" si="23"/>
        <v>1.8658929423714905E-2</v>
      </c>
      <c r="J49" s="197">
        <f t="shared" si="24"/>
        <v>194.24264562539335</v>
      </c>
      <c r="K49" s="196"/>
      <c r="L49" s="197">
        <f t="shared" si="25"/>
        <v>5.9277575114145863E-5</v>
      </c>
      <c r="M49" s="211"/>
      <c r="N49" s="211"/>
      <c r="O49" s="211"/>
    </row>
    <row r="50" spans="1:15" s="208" customFormat="1" ht="45" customHeight="1" thickBot="1" x14ac:dyDescent="0.3">
      <c r="A50" s="273"/>
      <c r="B50" s="651" t="s">
        <v>55</v>
      </c>
      <c r="C50" s="624"/>
      <c r="D50" s="624"/>
      <c r="E50" s="624"/>
      <c r="F50" s="624"/>
      <c r="G50" s="624"/>
      <c r="H50" s="652"/>
      <c r="I50" s="212">
        <f>SUM(I44:I49)</f>
        <v>2.2280024253595408E-2</v>
      </c>
      <c r="J50" s="212">
        <f>SUM(J44:J49)</f>
        <v>327.41964705784881</v>
      </c>
      <c r="K50" s="198"/>
      <c r="L50" s="272"/>
      <c r="M50" s="211"/>
      <c r="N50" s="211"/>
      <c r="O50" s="211"/>
    </row>
    <row r="51" spans="1:15" s="208" customFormat="1" ht="30" customHeight="1" thickBot="1" x14ac:dyDescent="0.3">
      <c r="A51" s="273"/>
      <c r="B51" s="273"/>
      <c r="C51" s="273"/>
      <c r="D51" s="273"/>
      <c r="E51" s="273"/>
      <c r="F51" s="273"/>
      <c r="G51" s="273"/>
      <c r="H51" s="273"/>
      <c r="I51" s="273"/>
      <c r="J51" s="273"/>
      <c r="K51" s="273"/>
      <c r="L51" s="273"/>
      <c r="M51" s="211"/>
      <c r="N51" s="211"/>
      <c r="O51" s="211"/>
    </row>
    <row r="52" spans="1:15" s="208" customFormat="1" ht="20.100000000000001" customHeight="1" x14ac:dyDescent="0.25">
      <c r="A52" s="273"/>
      <c r="B52" s="626" t="s">
        <v>136</v>
      </c>
      <c r="C52" s="627"/>
      <c r="D52" s="627"/>
      <c r="E52" s="627"/>
      <c r="F52" s="627"/>
      <c r="G52" s="627"/>
      <c r="H52" s="627"/>
      <c r="I52" s="627"/>
      <c r="J52" s="627"/>
      <c r="K52" s="627"/>
      <c r="L52" s="628"/>
      <c r="M52" s="211"/>
      <c r="N52" s="211"/>
      <c r="O52" s="211"/>
    </row>
    <row r="53" spans="1:15" s="208" customFormat="1" ht="20.100000000000001" customHeight="1" thickBot="1" x14ac:dyDescent="0.3">
      <c r="A53" s="273"/>
      <c r="B53" s="629"/>
      <c r="C53" s="630"/>
      <c r="D53" s="630"/>
      <c r="E53" s="630"/>
      <c r="F53" s="630"/>
      <c r="G53" s="630"/>
      <c r="H53" s="630"/>
      <c r="I53" s="630"/>
      <c r="J53" s="630"/>
      <c r="K53" s="630"/>
      <c r="L53" s="631"/>
      <c r="M53" s="211"/>
      <c r="N53" s="211"/>
      <c r="O53" s="211"/>
    </row>
    <row r="54" spans="1:15" s="208" customFormat="1" ht="20.100000000000001" customHeight="1" x14ac:dyDescent="0.25">
      <c r="A54" s="273"/>
      <c r="B54" s="634" t="s">
        <v>29</v>
      </c>
      <c r="C54" s="154" t="s">
        <v>97</v>
      </c>
      <c r="D54" s="636" t="s">
        <v>101</v>
      </c>
      <c r="E54" s="636"/>
      <c r="F54" s="637"/>
      <c r="G54" s="274" t="s">
        <v>112</v>
      </c>
      <c r="H54" s="154" t="s">
        <v>98</v>
      </c>
      <c r="I54" s="154" t="s">
        <v>96</v>
      </c>
      <c r="J54" s="634" t="s">
        <v>113</v>
      </c>
      <c r="K54" s="634" t="s">
        <v>114</v>
      </c>
      <c r="L54" s="638" t="s">
        <v>115</v>
      </c>
      <c r="M54" s="211"/>
      <c r="N54" s="211"/>
      <c r="O54" s="211"/>
    </row>
    <row r="55" spans="1:15" s="208" customFormat="1" ht="20.100000000000001" customHeight="1" thickBot="1" x14ac:dyDescent="0.3">
      <c r="A55" s="273"/>
      <c r="B55" s="635"/>
      <c r="C55" s="155" t="s">
        <v>104</v>
      </c>
      <c r="D55" s="157" t="s">
        <v>107</v>
      </c>
      <c r="E55" s="157" t="s">
        <v>107</v>
      </c>
      <c r="F55" s="156" t="s">
        <v>104</v>
      </c>
      <c r="G55" s="187" t="s">
        <v>106</v>
      </c>
      <c r="H55" s="155" t="s">
        <v>105</v>
      </c>
      <c r="I55" s="155" t="s">
        <v>104</v>
      </c>
      <c r="J55" s="635"/>
      <c r="K55" s="635"/>
      <c r="L55" s="639"/>
      <c r="M55" s="211"/>
      <c r="N55" s="211"/>
      <c r="O55" s="211"/>
    </row>
    <row r="56" spans="1:15" s="208" customFormat="1" ht="20.100000000000001" customHeight="1" x14ac:dyDescent="0.25">
      <c r="A56" s="273"/>
      <c r="B56" s="158" t="s">
        <v>144</v>
      </c>
      <c r="C56" s="169">
        <f>C44</f>
        <v>23.626799999999999</v>
      </c>
      <c r="D56" s="159">
        <f>D44</f>
        <v>2</v>
      </c>
      <c r="E56" s="160">
        <f>E44</f>
        <v>2</v>
      </c>
      <c r="F56" s="188">
        <f>F44</f>
        <v>5.57E-2</v>
      </c>
      <c r="G56" s="200">
        <f>ABS(L44)</f>
        <v>2.9370411990618377E-5</v>
      </c>
      <c r="H56" s="201">
        <f>ABS((G56)/(0.2785*150*(F56^2.63)))^(1/0.54)</f>
        <v>5.1724150214240814E-6</v>
      </c>
      <c r="I56" s="189">
        <f>H56*C56</f>
        <v>1.2220761522818249E-4</v>
      </c>
      <c r="J56" s="200">
        <f>I56/G56</f>
        <v>4.1609091240265395</v>
      </c>
      <c r="K56" s="202">
        <f>(-I62)/(1.85*J62)</f>
        <v>-2.2773987794208781E-5</v>
      </c>
      <c r="L56" s="200">
        <f>G56+$K$56</f>
        <v>6.5964241964095957E-6</v>
      </c>
      <c r="M56" s="211"/>
      <c r="N56" s="211"/>
      <c r="O56" s="211"/>
    </row>
    <row r="57" spans="1:15" s="208" customFormat="1" ht="20.100000000000001" customHeight="1" x14ac:dyDescent="0.25">
      <c r="A57" s="273"/>
      <c r="B57" s="161" t="s">
        <v>40</v>
      </c>
      <c r="C57" s="170">
        <f t="shared" ref="C57:F57" si="30">C45</f>
        <v>828.37099999999998</v>
      </c>
      <c r="D57" s="164">
        <f t="shared" si="30"/>
        <v>1</v>
      </c>
      <c r="E57" s="163">
        <f t="shared" si="30"/>
        <v>2</v>
      </c>
      <c r="F57" s="191">
        <f t="shared" si="30"/>
        <v>5.57E-2</v>
      </c>
      <c r="G57" s="193">
        <f t="shared" ref="G57:G61" si="31">ABS(L45)</f>
        <v>3.3435326416153473E-5</v>
      </c>
      <c r="H57" s="203">
        <f t="shared" ref="H57:H61" si="32">ABS((G57)/(0.2785*150*(F57^2.63)))^(1/0.54)</f>
        <v>6.5757356150808312E-6</v>
      </c>
      <c r="I57" s="192">
        <f t="shared" ref="I57:I61" si="33">H57*C57</f>
        <v>5.4471486872001229E-3</v>
      </c>
      <c r="J57" s="193">
        <f t="shared" ref="J57:J61" si="34">I57/G57</f>
        <v>162.91597155063107</v>
      </c>
      <c r="K57" s="192"/>
      <c r="L57" s="193">
        <f t="shared" ref="L57:L61" si="35">G57+$K$56</f>
        <v>1.0661338621944692E-5</v>
      </c>
      <c r="M57" s="211"/>
      <c r="N57" s="211"/>
      <c r="O57" s="211"/>
    </row>
    <row r="58" spans="1:15" s="208" customFormat="1" ht="20.100000000000001" customHeight="1" x14ac:dyDescent="0.25">
      <c r="A58" s="273"/>
      <c r="B58" s="161" t="s">
        <v>145</v>
      </c>
      <c r="C58" s="170">
        <f t="shared" ref="C58:F58" si="36">C46</f>
        <v>6.3987999999999996</v>
      </c>
      <c r="D58" s="164">
        <f t="shared" si="36"/>
        <v>1</v>
      </c>
      <c r="E58" s="163">
        <f t="shared" si="36"/>
        <v>2</v>
      </c>
      <c r="F58" s="191">
        <f t="shared" si="36"/>
        <v>5.57E-2</v>
      </c>
      <c r="G58" s="193">
        <f t="shared" si="31"/>
        <v>1.210211027884156E-7</v>
      </c>
      <c r="H58" s="203">
        <f t="shared" si="32"/>
        <v>1.9812354120418336E-10</v>
      </c>
      <c r="I58" s="192">
        <f t="shared" si="33"/>
        <v>1.2677529154573285E-9</v>
      </c>
      <c r="J58" s="193">
        <f t="shared" si="34"/>
        <v>1.0475469866389951E-2</v>
      </c>
      <c r="K58" s="192"/>
      <c r="L58" s="193">
        <f t="shared" si="35"/>
        <v>-2.2652966691420366E-5</v>
      </c>
      <c r="M58" s="211"/>
      <c r="N58" s="211"/>
      <c r="O58" s="211"/>
    </row>
    <row r="59" spans="1:15" s="208" customFormat="1" ht="20.100000000000001" customHeight="1" x14ac:dyDescent="0.25">
      <c r="A59" s="273"/>
      <c r="B59" s="161" t="s">
        <v>146</v>
      </c>
      <c r="C59" s="170">
        <f t="shared" ref="C59:F59" si="37">C47</f>
        <v>212.8605</v>
      </c>
      <c r="D59" s="164">
        <f t="shared" si="37"/>
        <v>1</v>
      </c>
      <c r="E59" s="163">
        <f t="shared" si="37"/>
        <v>2</v>
      </c>
      <c r="F59" s="191">
        <f t="shared" si="37"/>
        <v>5.57E-2</v>
      </c>
      <c r="G59" s="193">
        <f t="shared" si="31"/>
        <v>5.9575051056144906E-6</v>
      </c>
      <c r="H59" s="203">
        <f t="shared" si="32"/>
        <v>2.6955409158331045E-7</v>
      </c>
      <c r="I59" s="192">
        <f t="shared" si="33"/>
        <v>5.7377418711469254E-5</v>
      </c>
      <c r="J59" s="193">
        <f t="shared" si="34"/>
        <v>9.6311153233247673</v>
      </c>
      <c r="K59" s="192"/>
      <c r="L59" s="193">
        <f t="shared" si="35"/>
        <v>-1.6816482688594291E-5</v>
      </c>
      <c r="M59" s="211"/>
      <c r="N59" s="211"/>
      <c r="O59" s="211"/>
    </row>
    <row r="60" spans="1:15" s="208" customFormat="1" ht="20.100000000000001" customHeight="1" x14ac:dyDescent="0.25">
      <c r="A60" s="273"/>
      <c r="B60" s="161" t="s">
        <v>147</v>
      </c>
      <c r="C60" s="170">
        <f t="shared" ref="C60:F60" si="38">C48</f>
        <v>349.82990000000001</v>
      </c>
      <c r="D60" s="164">
        <f t="shared" si="38"/>
        <v>1</v>
      </c>
      <c r="E60" s="163">
        <f t="shared" si="38"/>
        <v>2</v>
      </c>
      <c r="F60" s="191">
        <f t="shared" si="38"/>
        <v>5.57E-2</v>
      </c>
      <c r="G60" s="193">
        <f t="shared" si="31"/>
        <v>3.5011029310199688E-6</v>
      </c>
      <c r="H60" s="203">
        <f t="shared" si="32"/>
        <v>1.0072290755595716E-7</v>
      </c>
      <c r="I60" s="192">
        <f t="shared" si="33"/>
        <v>3.5235884678009741E-5</v>
      </c>
      <c r="J60" s="193">
        <f t="shared" si="34"/>
        <v>10.06422415228579</v>
      </c>
      <c r="K60" s="192"/>
      <c r="L60" s="193">
        <f t="shared" si="35"/>
        <v>-1.9272884863188813E-5</v>
      </c>
      <c r="M60" s="211"/>
      <c r="N60" s="211"/>
      <c r="O60" s="211"/>
    </row>
    <row r="61" spans="1:15" s="208" customFormat="1" ht="20.100000000000001" customHeight="1" thickBot="1" x14ac:dyDescent="0.3">
      <c r="A61" s="273"/>
      <c r="B61" s="171" t="s">
        <v>148</v>
      </c>
      <c r="C61" s="194">
        <f t="shared" ref="C61:F61" si="39">C49</f>
        <v>401.94900000000001</v>
      </c>
      <c r="D61" s="174">
        <f t="shared" si="39"/>
        <v>1</v>
      </c>
      <c r="E61" s="165">
        <f t="shared" si="39"/>
        <v>2</v>
      </c>
      <c r="F61" s="195">
        <f t="shared" si="39"/>
        <v>5.57E-2</v>
      </c>
      <c r="G61" s="197">
        <f t="shared" si="31"/>
        <v>5.9277575114145863E-5</v>
      </c>
      <c r="H61" s="204">
        <f t="shared" si="32"/>
        <v>1.8987678342166018E-5</v>
      </c>
      <c r="I61" s="196">
        <f t="shared" si="33"/>
        <v>7.6320783219552884E-3</v>
      </c>
      <c r="J61" s="197">
        <f t="shared" si="34"/>
        <v>128.75152715438907</v>
      </c>
      <c r="K61" s="196"/>
      <c r="L61" s="197">
        <f t="shared" si="35"/>
        <v>3.6503587319937082E-5</v>
      </c>
      <c r="M61" s="211"/>
      <c r="N61" s="211"/>
      <c r="O61" s="211"/>
    </row>
    <row r="62" spans="1:15" s="208" customFormat="1" ht="45" customHeight="1" thickBot="1" x14ac:dyDescent="0.3">
      <c r="A62" s="273"/>
      <c r="B62" s="651" t="s">
        <v>55</v>
      </c>
      <c r="C62" s="624"/>
      <c r="D62" s="624"/>
      <c r="E62" s="624"/>
      <c r="F62" s="624"/>
      <c r="G62" s="624"/>
      <c r="H62" s="652"/>
      <c r="I62" s="212">
        <f>SUM(I56:I61)</f>
        <v>1.3294049195525988E-2</v>
      </c>
      <c r="J62" s="212">
        <f>SUM(J56:J61)</f>
        <v>315.53422277452364</v>
      </c>
      <c r="K62" s="198"/>
      <c r="L62" s="272"/>
      <c r="M62" s="211"/>
      <c r="N62" s="211"/>
      <c r="O62" s="211"/>
    </row>
    <row r="63" spans="1:15" s="208" customFormat="1" ht="30" customHeight="1" thickBot="1" x14ac:dyDescent="0.3">
      <c r="A63" s="273"/>
      <c r="B63" s="273"/>
      <c r="C63" s="273"/>
      <c r="D63" s="273"/>
      <c r="E63" s="273"/>
      <c r="F63" s="273"/>
      <c r="G63" s="273"/>
      <c r="H63" s="273"/>
      <c r="I63" s="273"/>
      <c r="J63" s="273"/>
      <c r="K63" s="273"/>
      <c r="L63" s="273"/>
      <c r="M63" s="211"/>
      <c r="N63" s="211"/>
      <c r="O63" s="211"/>
    </row>
    <row r="64" spans="1:15" s="208" customFormat="1" ht="20.100000000000001" customHeight="1" x14ac:dyDescent="0.25">
      <c r="A64" s="273"/>
      <c r="B64" s="626" t="s">
        <v>136</v>
      </c>
      <c r="C64" s="627"/>
      <c r="D64" s="627"/>
      <c r="E64" s="627"/>
      <c r="F64" s="627"/>
      <c r="G64" s="627"/>
      <c r="H64" s="627"/>
      <c r="I64" s="627"/>
      <c r="J64" s="627"/>
      <c r="K64" s="627"/>
      <c r="L64" s="628"/>
      <c r="M64" s="211"/>
      <c r="N64" s="211"/>
      <c r="O64" s="211"/>
    </row>
    <row r="65" spans="1:15" s="208" customFormat="1" ht="20.100000000000001" customHeight="1" thickBot="1" x14ac:dyDescent="0.3">
      <c r="A65" s="273"/>
      <c r="B65" s="629"/>
      <c r="C65" s="630"/>
      <c r="D65" s="630"/>
      <c r="E65" s="630"/>
      <c r="F65" s="630"/>
      <c r="G65" s="630"/>
      <c r="H65" s="630"/>
      <c r="I65" s="630"/>
      <c r="J65" s="630"/>
      <c r="K65" s="630"/>
      <c r="L65" s="631"/>
      <c r="M65" s="210"/>
      <c r="N65" s="210"/>
      <c r="O65" s="210"/>
    </row>
    <row r="66" spans="1:15" s="208" customFormat="1" ht="20.100000000000001" customHeight="1" x14ac:dyDescent="0.25">
      <c r="A66" s="273"/>
      <c r="B66" s="634" t="s">
        <v>29</v>
      </c>
      <c r="C66" s="154" t="s">
        <v>97</v>
      </c>
      <c r="D66" s="636" t="s">
        <v>101</v>
      </c>
      <c r="E66" s="636"/>
      <c r="F66" s="637"/>
      <c r="G66" s="274" t="s">
        <v>112</v>
      </c>
      <c r="H66" s="154" t="s">
        <v>98</v>
      </c>
      <c r="I66" s="154" t="s">
        <v>96</v>
      </c>
      <c r="J66" s="634" t="s">
        <v>113</v>
      </c>
      <c r="K66" s="634" t="s">
        <v>114</v>
      </c>
      <c r="L66" s="638" t="s">
        <v>115</v>
      </c>
      <c r="M66" s="211"/>
      <c r="N66" s="211"/>
      <c r="O66" s="211"/>
    </row>
    <row r="67" spans="1:15" s="208" customFormat="1" ht="20.100000000000001" customHeight="1" thickBot="1" x14ac:dyDescent="0.3">
      <c r="A67" s="273"/>
      <c r="B67" s="635"/>
      <c r="C67" s="155" t="s">
        <v>104</v>
      </c>
      <c r="D67" s="157" t="s">
        <v>107</v>
      </c>
      <c r="E67" s="157" t="s">
        <v>107</v>
      </c>
      <c r="F67" s="156" t="s">
        <v>104</v>
      </c>
      <c r="G67" s="187" t="s">
        <v>106</v>
      </c>
      <c r="H67" s="155" t="s">
        <v>105</v>
      </c>
      <c r="I67" s="155" t="s">
        <v>104</v>
      </c>
      <c r="J67" s="635"/>
      <c r="K67" s="635"/>
      <c r="L67" s="639"/>
      <c r="M67" s="211"/>
      <c r="N67" s="211"/>
      <c r="O67" s="211"/>
    </row>
    <row r="68" spans="1:15" s="208" customFormat="1" ht="20.100000000000001" customHeight="1" x14ac:dyDescent="0.25">
      <c r="A68" s="273"/>
      <c r="B68" s="158" t="s">
        <v>144</v>
      </c>
      <c r="C68" s="169">
        <f>C56</f>
        <v>23.626799999999999</v>
      </c>
      <c r="D68" s="159">
        <f>D56</f>
        <v>2</v>
      </c>
      <c r="E68" s="160">
        <f>E56</f>
        <v>2</v>
      </c>
      <c r="F68" s="188">
        <f>F56</f>
        <v>5.57E-2</v>
      </c>
      <c r="G68" s="200">
        <f>ABS(L56)</f>
        <v>6.5964241964095957E-6</v>
      </c>
      <c r="H68" s="201">
        <f>ABS((G68)/(0.2785*150*(F68^2.63)))^(1/0.54)</f>
        <v>3.255214000938834E-7</v>
      </c>
      <c r="I68" s="189">
        <f>H68*C68</f>
        <v>7.6910290157381643E-6</v>
      </c>
      <c r="J68" s="200">
        <f>I68/G68</f>
        <v>1.1659391189433144</v>
      </c>
      <c r="K68" s="202">
        <f>(-I74)/(1.85*J74)</f>
        <v>-1.2601193407591836E-5</v>
      </c>
      <c r="L68" s="200">
        <f>G68+$K$68</f>
        <v>-6.0047692111822399E-6</v>
      </c>
      <c r="M68" s="211"/>
      <c r="N68" s="211"/>
      <c r="O68" s="211"/>
    </row>
    <row r="69" spans="1:15" s="208" customFormat="1" ht="20.100000000000001" customHeight="1" x14ac:dyDescent="0.25">
      <c r="A69" s="273"/>
      <c r="B69" s="161" t="s">
        <v>40</v>
      </c>
      <c r="C69" s="170">
        <f t="shared" ref="C69:F69" si="40">C57</f>
        <v>828.37099999999998</v>
      </c>
      <c r="D69" s="164">
        <f t="shared" si="40"/>
        <v>1</v>
      </c>
      <c r="E69" s="163">
        <f t="shared" si="40"/>
        <v>2</v>
      </c>
      <c r="F69" s="191">
        <f t="shared" si="40"/>
        <v>5.57E-2</v>
      </c>
      <c r="G69" s="193">
        <f t="shared" ref="G69:G73" si="41">ABS(L57)</f>
        <v>1.0661338621944692E-5</v>
      </c>
      <c r="H69" s="203">
        <f t="shared" ref="H69:H73" si="42">ABS((G69)/(0.2785*150*(F69^2.63)))^(1/0.54)</f>
        <v>7.9194771558617757E-7</v>
      </c>
      <c r="I69" s="192">
        <f t="shared" ref="I69:I73" si="43">H69*C69</f>
        <v>6.5602652110783753E-4</v>
      </c>
      <c r="J69" s="193">
        <f t="shared" ref="J69:J73" si="44">I69/G69</f>
        <v>61.533222456466198</v>
      </c>
      <c r="K69" s="192"/>
      <c r="L69" s="193">
        <f t="shared" ref="L69:L73" si="45">G69+$K$68</f>
        <v>-1.9398547856471438E-6</v>
      </c>
      <c r="M69" s="211"/>
      <c r="N69" s="211"/>
      <c r="O69" s="211"/>
    </row>
    <row r="70" spans="1:15" s="208" customFormat="1" ht="20.100000000000001" customHeight="1" x14ac:dyDescent="0.25">
      <c r="A70" s="273"/>
      <c r="B70" s="161" t="s">
        <v>145</v>
      </c>
      <c r="C70" s="170">
        <f t="shared" ref="C70:F70" si="46">C58</f>
        <v>6.3987999999999996</v>
      </c>
      <c r="D70" s="164">
        <f t="shared" si="46"/>
        <v>1</v>
      </c>
      <c r="E70" s="163">
        <f t="shared" si="46"/>
        <v>2</v>
      </c>
      <c r="F70" s="191">
        <f t="shared" si="46"/>
        <v>5.57E-2</v>
      </c>
      <c r="G70" s="193">
        <f t="shared" si="41"/>
        <v>2.2652966691420366E-5</v>
      </c>
      <c r="H70" s="203">
        <f t="shared" si="42"/>
        <v>3.1976604228059426E-6</v>
      </c>
      <c r="I70" s="192">
        <f t="shared" si="43"/>
        <v>2.0461189513450664E-5</v>
      </c>
      <c r="J70" s="193">
        <f t="shared" si="44"/>
        <v>0.90324546855932031</v>
      </c>
      <c r="K70" s="192"/>
      <c r="L70" s="193">
        <f t="shared" si="45"/>
        <v>1.005177328382853E-5</v>
      </c>
      <c r="M70" s="211"/>
      <c r="N70" s="211"/>
      <c r="O70" s="211"/>
    </row>
    <row r="71" spans="1:15" s="208" customFormat="1" ht="20.100000000000001" customHeight="1" x14ac:dyDescent="0.25">
      <c r="A71" s="273"/>
      <c r="B71" s="161" t="s">
        <v>146</v>
      </c>
      <c r="C71" s="170">
        <f t="shared" ref="C71:F71" si="47">C59</f>
        <v>212.8605</v>
      </c>
      <c r="D71" s="164">
        <f t="shared" si="47"/>
        <v>1</v>
      </c>
      <c r="E71" s="163">
        <f t="shared" si="47"/>
        <v>2</v>
      </c>
      <c r="F71" s="191">
        <f t="shared" si="47"/>
        <v>5.57E-2</v>
      </c>
      <c r="G71" s="193">
        <f t="shared" si="41"/>
        <v>1.6816482688594291E-5</v>
      </c>
      <c r="H71" s="203">
        <f t="shared" si="42"/>
        <v>1.8417105475430113E-6</v>
      </c>
      <c r="I71" s="192">
        <f t="shared" si="43"/>
        <v>3.9202742800527915E-4</v>
      </c>
      <c r="J71" s="193">
        <f t="shared" si="44"/>
        <v>23.312094167656721</v>
      </c>
      <c r="K71" s="192"/>
      <c r="L71" s="193">
        <f t="shared" si="45"/>
        <v>4.2152892810024552E-6</v>
      </c>
      <c r="M71" s="211"/>
      <c r="N71" s="211"/>
      <c r="O71" s="211"/>
    </row>
    <row r="72" spans="1:15" s="208" customFormat="1" ht="20.100000000000001" customHeight="1" x14ac:dyDescent="0.25">
      <c r="A72" s="273"/>
      <c r="B72" s="161" t="s">
        <v>147</v>
      </c>
      <c r="C72" s="170">
        <f t="shared" ref="C72:F72" si="48">C60</f>
        <v>349.82990000000001</v>
      </c>
      <c r="D72" s="164">
        <f t="shared" si="48"/>
        <v>1</v>
      </c>
      <c r="E72" s="163">
        <f t="shared" si="48"/>
        <v>2</v>
      </c>
      <c r="F72" s="191">
        <f t="shared" si="48"/>
        <v>5.57E-2</v>
      </c>
      <c r="G72" s="193">
        <f t="shared" si="41"/>
        <v>1.9272884863188813E-5</v>
      </c>
      <c r="H72" s="203">
        <f t="shared" si="42"/>
        <v>2.3706771665213073E-6</v>
      </c>
      <c r="I72" s="192">
        <f t="shared" si="43"/>
        <v>8.2933375609643234E-4</v>
      </c>
      <c r="J72" s="193">
        <f t="shared" si="44"/>
        <v>43.031116617131815</v>
      </c>
      <c r="K72" s="192"/>
      <c r="L72" s="193">
        <f t="shared" si="45"/>
        <v>6.671691455596977E-6</v>
      </c>
      <c r="M72" s="211"/>
      <c r="N72" s="211"/>
      <c r="O72" s="211"/>
    </row>
    <row r="73" spans="1:15" s="208" customFormat="1" ht="20.100000000000001" customHeight="1" thickBot="1" x14ac:dyDescent="0.3">
      <c r="A73" s="273"/>
      <c r="B73" s="171" t="s">
        <v>148</v>
      </c>
      <c r="C73" s="194">
        <f t="shared" ref="C73:F73" si="49">C61</f>
        <v>401.94900000000001</v>
      </c>
      <c r="D73" s="174">
        <f t="shared" si="49"/>
        <v>1</v>
      </c>
      <c r="E73" s="165">
        <f t="shared" si="49"/>
        <v>2</v>
      </c>
      <c r="F73" s="195">
        <f t="shared" si="49"/>
        <v>5.57E-2</v>
      </c>
      <c r="G73" s="197">
        <f t="shared" si="41"/>
        <v>3.6503587319937082E-5</v>
      </c>
      <c r="H73" s="204">
        <f t="shared" si="42"/>
        <v>7.7366939107666547E-6</v>
      </c>
      <c r="I73" s="196">
        <f t="shared" si="43"/>
        <v>3.1097563807387461E-3</v>
      </c>
      <c r="J73" s="197">
        <f t="shared" si="44"/>
        <v>85.190432202817973</v>
      </c>
      <c r="K73" s="196"/>
      <c r="L73" s="197">
        <f t="shared" si="45"/>
        <v>2.3902393912345246E-5</v>
      </c>
      <c r="M73" s="211"/>
      <c r="N73" s="211"/>
      <c r="O73" s="211"/>
    </row>
    <row r="74" spans="1:15" s="208" customFormat="1" ht="45" customHeight="1" thickBot="1" x14ac:dyDescent="0.3">
      <c r="A74" s="273"/>
      <c r="B74" s="651" t="s">
        <v>55</v>
      </c>
      <c r="C74" s="624"/>
      <c r="D74" s="624"/>
      <c r="E74" s="624"/>
      <c r="F74" s="624"/>
      <c r="G74" s="624"/>
      <c r="H74" s="652"/>
      <c r="I74" s="212">
        <f>SUM(I68:I73)</f>
        <v>5.0152963044774838E-3</v>
      </c>
      <c r="J74" s="212">
        <f>SUM(J68:J73)</f>
        <v>215.13605003157534</v>
      </c>
      <c r="K74" s="198"/>
      <c r="L74" s="272"/>
      <c r="M74" s="211"/>
      <c r="N74" s="211"/>
      <c r="O74" s="211"/>
    </row>
    <row r="75" spans="1:15" s="208" customFormat="1" ht="30" customHeight="1" thickBot="1" x14ac:dyDescent="0.3">
      <c r="A75" s="273"/>
      <c r="B75" s="273"/>
      <c r="C75" s="273"/>
      <c r="D75" s="273"/>
      <c r="E75" s="273"/>
      <c r="F75" s="273"/>
      <c r="G75" s="273"/>
      <c r="H75" s="273"/>
      <c r="I75" s="273"/>
      <c r="J75" s="273"/>
      <c r="K75" s="273"/>
      <c r="L75" s="273"/>
      <c r="M75" s="211"/>
      <c r="N75" s="211"/>
      <c r="O75" s="211"/>
    </row>
    <row r="76" spans="1:15" s="208" customFormat="1" ht="20.100000000000001" customHeight="1" x14ac:dyDescent="0.25">
      <c r="A76" s="273"/>
      <c r="B76" s="626" t="s">
        <v>136</v>
      </c>
      <c r="C76" s="627"/>
      <c r="D76" s="627"/>
      <c r="E76" s="627"/>
      <c r="F76" s="627"/>
      <c r="G76" s="627"/>
      <c r="H76" s="627"/>
      <c r="I76" s="627"/>
      <c r="J76" s="627"/>
      <c r="K76" s="627"/>
      <c r="L76" s="628"/>
      <c r="M76" s="211"/>
      <c r="N76" s="211"/>
      <c r="O76" s="211"/>
    </row>
    <row r="77" spans="1:15" s="208" customFormat="1" ht="20.100000000000001" customHeight="1" thickBot="1" x14ac:dyDescent="0.3">
      <c r="A77" s="273"/>
      <c r="B77" s="629"/>
      <c r="C77" s="630"/>
      <c r="D77" s="630"/>
      <c r="E77" s="630"/>
      <c r="F77" s="630"/>
      <c r="G77" s="630"/>
      <c r="H77" s="630"/>
      <c r="I77" s="630"/>
      <c r="J77" s="630"/>
      <c r="K77" s="630"/>
      <c r="L77" s="631"/>
      <c r="M77" s="211"/>
      <c r="N77" s="211"/>
      <c r="O77" s="211"/>
    </row>
    <row r="78" spans="1:15" s="208" customFormat="1" ht="20.100000000000001" customHeight="1" x14ac:dyDescent="0.25">
      <c r="A78" s="273"/>
      <c r="B78" s="634" t="s">
        <v>29</v>
      </c>
      <c r="C78" s="154" t="s">
        <v>97</v>
      </c>
      <c r="D78" s="636" t="s">
        <v>101</v>
      </c>
      <c r="E78" s="636"/>
      <c r="F78" s="637"/>
      <c r="G78" s="274" t="s">
        <v>112</v>
      </c>
      <c r="H78" s="154" t="s">
        <v>98</v>
      </c>
      <c r="I78" s="154" t="s">
        <v>96</v>
      </c>
      <c r="J78" s="634" t="s">
        <v>113</v>
      </c>
      <c r="K78" s="634" t="s">
        <v>114</v>
      </c>
      <c r="L78" s="638" t="s">
        <v>115</v>
      </c>
      <c r="M78" s="211"/>
      <c r="N78" s="211"/>
      <c r="O78" s="211"/>
    </row>
    <row r="79" spans="1:15" s="208" customFormat="1" ht="20.100000000000001" customHeight="1" thickBot="1" x14ac:dyDescent="0.3">
      <c r="A79" s="273"/>
      <c r="B79" s="635"/>
      <c r="C79" s="155" t="s">
        <v>104</v>
      </c>
      <c r="D79" s="157" t="s">
        <v>107</v>
      </c>
      <c r="E79" s="157" t="s">
        <v>107</v>
      </c>
      <c r="F79" s="156" t="s">
        <v>104</v>
      </c>
      <c r="G79" s="187" t="s">
        <v>106</v>
      </c>
      <c r="H79" s="155" t="s">
        <v>105</v>
      </c>
      <c r="I79" s="155" t="s">
        <v>104</v>
      </c>
      <c r="J79" s="635"/>
      <c r="K79" s="635"/>
      <c r="L79" s="639"/>
      <c r="M79" s="211"/>
      <c r="N79" s="211"/>
      <c r="O79" s="211"/>
    </row>
    <row r="80" spans="1:15" s="208" customFormat="1" ht="20.100000000000001" customHeight="1" x14ac:dyDescent="0.25">
      <c r="A80" s="273"/>
      <c r="B80" s="158" t="s">
        <v>144</v>
      </c>
      <c r="C80" s="169">
        <f>C68</f>
        <v>23.626799999999999</v>
      </c>
      <c r="D80" s="159">
        <f>D68</f>
        <v>2</v>
      </c>
      <c r="E80" s="160">
        <f>E68</f>
        <v>2</v>
      </c>
      <c r="F80" s="188">
        <f>F68</f>
        <v>5.57E-2</v>
      </c>
      <c r="G80" s="200">
        <f>ABS(L68)</f>
        <v>6.0047692111822399E-6</v>
      </c>
      <c r="H80" s="201">
        <f>ABS((G80)/(0.2785*150*(F80^2.63)))^(1/0.54)</f>
        <v>2.7352768720168539E-7</v>
      </c>
      <c r="I80" s="189">
        <f>H80*C80</f>
        <v>6.4625839599767803E-6</v>
      </c>
      <c r="J80" s="200">
        <f>I80/G80</f>
        <v>1.0762418558804867</v>
      </c>
      <c r="K80" s="202">
        <f>(-I86)/(1.85*J86)</f>
        <v>-8.6818977993395823E-6</v>
      </c>
      <c r="L80" s="200">
        <f>G80+$K$80</f>
        <v>-2.6771285881573424E-6</v>
      </c>
      <c r="M80" s="211"/>
      <c r="N80" s="211"/>
      <c r="O80" s="211"/>
    </row>
    <row r="81" spans="1:15" s="208" customFormat="1" ht="20.100000000000001" customHeight="1" x14ac:dyDescent="0.25">
      <c r="A81" s="273"/>
      <c r="B81" s="161" t="s">
        <v>40</v>
      </c>
      <c r="C81" s="170">
        <f t="shared" ref="C81:F81" si="50">C69</f>
        <v>828.37099999999998</v>
      </c>
      <c r="D81" s="164">
        <f t="shared" si="50"/>
        <v>1</v>
      </c>
      <c r="E81" s="163">
        <f t="shared" si="50"/>
        <v>2</v>
      </c>
      <c r="F81" s="191">
        <f t="shared" si="50"/>
        <v>5.57E-2</v>
      </c>
      <c r="G81" s="193">
        <f t="shared" ref="G81:G85" si="51">ABS(L69)</f>
        <v>1.9398547856471438E-6</v>
      </c>
      <c r="H81" s="203">
        <f t="shared" ref="H81:H85" si="52">ABS((G81)/(0.2785*150*(F81^2.63)))^(1/0.54)</f>
        <v>3.3747950621995791E-8</v>
      </c>
      <c r="I81" s="192">
        <f t="shared" ref="I81:I85" si="53">H81*C81</f>
        <v>2.7955823604693274E-5</v>
      </c>
      <c r="J81" s="193">
        <f t="shared" ref="J81:J85" si="54">I81/G81</f>
        <v>14.411297078284699</v>
      </c>
      <c r="K81" s="192"/>
      <c r="L81" s="193">
        <f t="shared" ref="L81:L85" si="55">G81+$K$80</f>
        <v>-6.7420430136924385E-6</v>
      </c>
      <c r="M81" s="211"/>
      <c r="N81" s="211"/>
      <c r="O81" s="211"/>
    </row>
    <row r="82" spans="1:15" s="208" customFormat="1" ht="20.100000000000001" customHeight="1" x14ac:dyDescent="0.25">
      <c r="A82" s="273"/>
      <c r="B82" s="161" t="s">
        <v>145</v>
      </c>
      <c r="C82" s="170">
        <f t="shared" ref="C82:F82" si="56">C70</f>
        <v>6.3987999999999996</v>
      </c>
      <c r="D82" s="164">
        <f t="shared" si="56"/>
        <v>1</v>
      </c>
      <c r="E82" s="163">
        <f t="shared" si="56"/>
        <v>2</v>
      </c>
      <c r="F82" s="191">
        <f t="shared" si="56"/>
        <v>5.57E-2</v>
      </c>
      <c r="G82" s="193">
        <f t="shared" si="51"/>
        <v>1.005177328382853E-5</v>
      </c>
      <c r="H82" s="203">
        <f t="shared" si="52"/>
        <v>7.1014398427863782E-7</v>
      </c>
      <c r="I82" s="192">
        <f t="shared" si="53"/>
        <v>4.5440693266021474E-6</v>
      </c>
      <c r="J82" s="193">
        <f t="shared" si="54"/>
        <v>0.45206643626878512</v>
      </c>
      <c r="K82" s="192"/>
      <c r="L82" s="193">
        <f t="shared" si="55"/>
        <v>1.3698754844889479E-6</v>
      </c>
      <c r="M82" s="211"/>
      <c r="N82" s="211"/>
      <c r="O82" s="211"/>
    </row>
    <row r="83" spans="1:15" s="208" customFormat="1" ht="20.100000000000001" customHeight="1" x14ac:dyDescent="0.25">
      <c r="A83" s="273"/>
      <c r="B83" s="161" t="s">
        <v>146</v>
      </c>
      <c r="C83" s="170">
        <f t="shared" ref="C83:F83" si="57">C71</f>
        <v>212.8605</v>
      </c>
      <c r="D83" s="164">
        <f t="shared" si="57"/>
        <v>1</v>
      </c>
      <c r="E83" s="163">
        <f t="shared" si="57"/>
        <v>2</v>
      </c>
      <c r="F83" s="191">
        <f t="shared" si="57"/>
        <v>5.57E-2</v>
      </c>
      <c r="G83" s="193">
        <f t="shared" si="51"/>
        <v>4.2152892810024552E-6</v>
      </c>
      <c r="H83" s="203">
        <f t="shared" si="52"/>
        <v>1.4204605914782009E-7</v>
      </c>
      <c r="I83" s="192">
        <f t="shared" si="53"/>
        <v>3.0235995173234558E-5</v>
      </c>
      <c r="J83" s="193">
        <f t="shared" si="54"/>
        <v>7.1729347993986341</v>
      </c>
      <c r="K83" s="192"/>
      <c r="L83" s="193">
        <f t="shared" si="55"/>
        <v>-4.4666085183371271E-6</v>
      </c>
      <c r="M83" s="211"/>
      <c r="N83" s="211"/>
      <c r="O83" s="211"/>
    </row>
    <row r="84" spans="1:15" s="208" customFormat="1" ht="20.100000000000001" customHeight="1" x14ac:dyDescent="0.25">
      <c r="A84" s="273"/>
      <c r="B84" s="161" t="s">
        <v>147</v>
      </c>
      <c r="C84" s="170">
        <f t="shared" ref="C84:F84" si="58">C72</f>
        <v>349.82990000000001</v>
      </c>
      <c r="D84" s="164">
        <f t="shared" si="58"/>
        <v>1</v>
      </c>
      <c r="E84" s="163">
        <f t="shared" si="58"/>
        <v>2</v>
      </c>
      <c r="F84" s="191">
        <f t="shared" si="58"/>
        <v>5.57E-2</v>
      </c>
      <c r="G84" s="193">
        <f t="shared" si="51"/>
        <v>6.671691455596977E-6</v>
      </c>
      <c r="H84" s="203">
        <f t="shared" si="52"/>
        <v>3.3243314446009399E-7</v>
      </c>
      <c r="I84" s="192">
        <f t="shared" si="53"/>
        <v>1.1629505368316024E-4</v>
      </c>
      <c r="J84" s="193">
        <f t="shared" si="54"/>
        <v>17.431119897728284</v>
      </c>
      <c r="K84" s="192"/>
      <c r="L84" s="193">
        <f t="shared" si="55"/>
        <v>-2.0102063437426053E-6</v>
      </c>
      <c r="M84" s="211"/>
      <c r="N84" s="211"/>
      <c r="O84" s="211"/>
    </row>
    <row r="85" spans="1:15" s="208" customFormat="1" ht="20.100000000000001" customHeight="1" thickBot="1" x14ac:dyDescent="0.3">
      <c r="A85" s="273"/>
      <c r="B85" s="171" t="s">
        <v>148</v>
      </c>
      <c r="C85" s="194">
        <f t="shared" ref="C85:F85" si="59">C73</f>
        <v>401.94900000000001</v>
      </c>
      <c r="D85" s="174">
        <f t="shared" si="59"/>
        <v>1</v>
      </c>
      <c r="E85" s="165">
        <f t="shared" si="59"/>
        <v>2</v>
      </c>
      <c r="F85" s="195">
        <f t="shared" si="59"/>
        <v>5.57E-2</v>
      </c>
      <c r="G85" s="197">
        <f t="shared" si="51"/>
        <v>2.3902393912345246E-5</v>
      </c>
      <c r="H85" s="204">
        <f t="shared" si="52"/>
        <v>3.5319187065982042E-6</v>
      </c>
      <c r="I85" s="196">
        <f t="shared" si="53"/>
        <v>1.4196511921984417E-3</v>
      </c>
      <c r="J85" s="197">
        <f t="shared" si="54"/>
        <v>59.393682381964766</v>
      </c>
      <c r="K85" s="196"/>
      <c r="L85" s="197">
        <f t="shared" si="55"/>
        <v>1.5220496113005664E-5</v>
      </c>
      <c r="M85" s="211"/>
      <c r="N85" s="211"/>
      <c r="O85" s="211"/>
    </row>
    <row r="86" spans="1:15" s="208" customFormat="1" ht="45" customHeight="1" thickBot="1" x14ac:dyDescent="0.3">
      <c r="A86" s="273"/>
      <c r="B86" s="651" t="s">
        <v>55</v>
      </c>
      <c r="C86" s="624"/>
      <c r="D86" s="624"/>
      <c r="E86" s="624"/>
      <c r="F86" s="624"/>
      <c r="G86" s="624"/>
      <c r="H86" s="652"/>
      <c r="I86" s="212">
        <f>SUM(I80:I85)</f>
        <v>1.6051447179461086E-3</v>
      </c>
      <c r="J86" s="212">
        <f>SUM(J80:J85)</f>
        <v>99.937342449525659</v>
      </c>
      <c r="K86" s="198"/>
      <c r="L86" s="272"/>
      <c r="M86" s="211"/>
      <c r="N86" s="211"/>
      <c r="O86" s="211"/>
    </row>
    <row r="87" spans="1:15" s="208" customFormat="1" ht="30" customHeight="1" thickBot="1" x14ac:dyDescent="0.3">
      <c r="A87" s="273"/>
      <c r="B87" s="273"/>
      <c r="C87" s="273"/>
      <c r="D87" s="273"/>
      <c r="E87" s="273"/>
      <c r="F87" s="273"/>
      <c r="G87" s="273"/>
      <c r="H87" s="273"/>
      <c r="I87" s="273"/>
      <c r="J87" s="273"/>
      <c r="K87" s="273"/>
      <c r="L87" s="273"/>
      <c r="M87" s="211"/>
      <c r="N87" s="211"/>
      <c r="O87" s="211"/>
    </row>
    <row r="88" spans="1:15" s="208" customFormat="1" ht="20.100000000000001" customHeight="1" x14ac:dyDescent="0.25">
      <c r="A88" s="273"/>
      <c r="B88" s="626" t="s">
        <v>136</v>
      </c>
      <c r="C88" s="627"/>
      <c r="D88" s="627"/>
      <c r="E88" s="627"/>
      <c r="F88" s="627"/>
      <c r="G88" s="627"/>
      <c r="H88" s="627"/>
      <c r="I88" s="627"/>
      <c r="J88" s="627"/>
      <c r="K88" s="627"/>
      <c r="L88" s="628"/>
      <c r="M88" s="211"/>
      <c r="N88" s="211"/>
      <c r="O88" s="211"/>
    </row>
    <row r="89" spans="1:15" s="208" customFormat="1" ht="20.100000000000001" customHeight="1" thickBot="1" x14ac:dyDescent="0.3">
      <c r="A89" s="273"/>
      <c r="B89" s="629"/>
      <c r="C89" s="630"/>
      <c r="D89" s="630"/>
      <c r="E89" s="630"/>
      <c r="F89" s="630"/>
      <c r="G89" s="630"/>
      <c r="H89" s="630"/>
      <c r="I89" s="630"/>
      <c r="J89" s="630"/>
      <c r="K89" s="630"/>
      <c r="L89" s="631"/>
      <c r="M89" s="211"/>
      <c r="N89" s="211"/>
      <c r="O89" s="211"/>
    </row>
    <row r="90" spans="1:15" s="208" customFormat="1" ht="20.100000000000001" customHeight="1" x14ac:dyDescent="0.25">
      <c r="A90" s="273"/>
      <c r="B90" s="634" t="s">
        <v>29</v>
      </c>
      <c r="C90" s="154" t="s">
        <v>97</v>
      </c>
      <c r="D90" s="636" t="s">
        <v>101</v>
      </c>
      <c r="E90" s="636"/>
      <c r="F90" s="637"/>
      <c r="G90" s="274" t="s">
        <v>112</v>
      </c>
      <c r="H90" s="154" t="s">
        <v>98</v>
      </c>
      <c r="I90" s="154" t="s">
        <v>96</v>
      </c>
      <c r="J90" s="634" t="s">
        <v>113</v>
      </c>
      <c r="K90" s="634" t="s">
        <v>114</v>
      </c>
      <c r="L90" s="638" t="s">
        <v>115</v>
      </c>
      <c r="M90" s="210"/>
      <c r="N90" s="210"/>
      <c r="O90" s="210"/>
    </row>
    <row r="91" spans="1:15" s="208" customFormat="1" ht="20.100000000000001" customHeight="1" thickBot="1" x14ac:dyDescent="0.3">
      <c r="A91" s="273"/>
      <c r="B91" s="635"/>
      <c r="C91" s="155" t="s">
        <v>104</v>
      </c>
      <c r="D91" s="157" t="s">
        <v>107</v>
      </c>
      <c r="E91" s="157" t="s">
        <v>107</v>
      </c>
      <c r="F91" s="156" t="s">
        <v>104</v>
      </c>
      <c r="G91" s="187" t="s">
        <v>106</v>
      </c>
      <c r="H91" s="155" t="s">
        <v>105</v>
      </c>
      <c r="I91" s="155" t="s">
        <v>104</v>
      </c>
      <c r="J91" s="635"/>
      <c r="K91" s="635"/>
      <c r="L91" s="639"/>
      <c r="M91" s="211"/>
      <c r="N91" s="211"/>
      <c r="O91" s="211"/>
    </row>
    <row r="92" spans="1:15" s="208" customFormat="1" ht="20.100000000000001" customHeight="1" x14ac:dyDescent="0.25">
      <c r="A92" s="273"/>
      <c r="B92" s="158" t="s">
        <v>144</v>
      </c>
      <c r="C92" s="169">
        <f>C80</f>
        <v>23.626799999999999</v>
      </c>
      <c r="D92" s="159">
        <f>D80</f>
        <v>2</v>
      </c>
      <c r="E92" s="160">
        <f>E80</f>
        <v>2</v>
      </c>
      <c r="F92" s="188">
        <f>F80</f>
        <v>5.57E-2</v>
      </c>
      <c r="G92" s="200">
        <f>ABS(L80)</f>
        <v>2.6771285881573424E-6</v>
      </c>
      <c r="H92" s="201">
        <f>ABS((G92)/(0.2785*150*(F92^2.63)))^(1/0.54)</f>
        <v>6.1280387071880253E-8</v>
      </c>
      <c r="I92" s="189">
        <f>H92*C92</f>
        <v>1.4478594492699004E-6</v>
      </c>
      <c r="J92" s="200">
        <f>I92/G92</f>
        <v>0.54082551569420756</v>
      </c>
      <c r="K92" s="202">
        <f>(-I98)/(1.85*J98)</f>
        <v>-5.2873287518248466E-6</v>
      </c>
      <c r="L92" s="200">
        <f>G92+$K$92</f>
        <v>-2.6102001636675042E-6</v>
      </c>
      <c r="M92" s="211"/>
      <c r="N92" s="211"/>
      <c r="O92" s="211"/>
    </row>
    <row r="93" spans="1:15" s="208" customFormat="1" ht="20.100000000000001" customHeight="1" x14ac:dyDescent="0.25">
      <c r="A93" s="273"/>
      <c r="B93" s="161" t="s">
        <v>40</v>
      </c>
      <c r="C93" s="170">
        <f t="shared" ref="C93:F93" si="60">C81</f>
        <v>828.37099999999998</v>
      </c>
      <c r="D93" s="164">
        <f t="shared" si="60"/>
        <v>1</v>
      </c>
      <c r="E93" s="163">
        <f t="shared" si="60"/>
        <v>2</v>
      </c>
      <c r="F93" s="191">
        <f t="shared" si="60"/>
        <v>5.57E-2</v>
      </c>
      <c r="G93" s="193">
        <f t="shared" ref="G93:G97" si="61">ABS(L81)</f>
        <v>6.7420430136924385E-6</v>
      </c>
      <c r="H93" s="203">
        <f t="shared" ref="H93:H97" si="62">ABS((G93)/(0.2785*150*(F93^2.63)))^(1/0.54)</f>
        <v>3.3895383357894457E-7</v>
      </c>
      <c r="I93" s="192">
        <f t="shared" ref="I93:I97" si="63">H93*C93</f>
        <v>2.8077952607562386E-4</v>
      </c>
      <c r="J93" s="193">
        <f t="shared" ref="J93:J97" si="64">I93/G93</f>
        <v>41.646059733731711</v>
      </c>
      <c r="K93" s="192"/>
      <c r="L93" s="193">
        <f t="shared" ref="L93:L97" si="65">G93+$K$92</f>
        <v>1.4547142618675919E-6</v>
      </c>
      <c r="M93" s="211"/>
      <c r="N93" s="211"/>
      <c r="O93" s="211"/>
    </row>
    <row r="94" spans="1:15" s="208" customFormat="1" ht="20.100000000000001" customHeight="1" x14ac:dyDescent="0.25">
      <c r="A94" s="273"/>
      <c r="B94" s="161" t="s">
        <v>145</v>
      </c>
      <c r="C94" s="170">
        <f t="shared" ref="C94:F94" si="66">C82</f>
        <v>6.3987999999999996</v>
      </c>
      <c r="D94" s="164">
        <f t="shared" si="66"/>
        <v>1</v>
      </c>
      <c r="E94" s="163">
        <f t="shared" si="66"/>
        <v>2</v>
      </c>
      <c r="F94" s="191">
        <f t="shared" si="66"/>
        <v>5.57E-2</v>
      </c>
      <c r="G94" s="193">
        <f t="shared" si="61"/>
        <v>1.3698754844889479E-6</v>
      </c>
      <c r="H94" s="203">
        <f t="shared" si="62"/>
        <v>1.7719627059405931E-8</v>
      </c>
      <c r="I94" s="192">
        <f t="shared" si="63"/>
        <v>1.1338434962772667E-7</v>
      </c>
      <c r="J94" s="193">
        <f t="shared" si="64"/>
        <v>8.2769821718523831E-2</v>
      </c>
      <c r="K94" s="192"/>
      <c r="L94" s="193">
        <f t="shared" si="65"/>
        <v>-3.9174532673358987E-6</v>
      </c>
      <c r="M94" s="211"/>
      <c r="N94" s="211"/>
      <c r="O94" s="211"/>
    </row>
    <row r="95" spans="1:15" s="208" customFormat="1" ht="20.100000000000001" customHeight="1" x14ac:dyDescent="0.25">
      <c r="A95" s="273"/>
      <c r="B95" s="161" t="s">
        <v>146</v>
      </c>
      <c r="C95" s="170">
        <f t="shared" ref="C95:F95" si="67">C83</f>
        <v>212.8605</v>
      </c>
      <c r="D95" s="164">
        <f t="shared" si="67"/>
        <v>1</v>
      </c>
      <c r="E95" s="163">
        <f t="shared" si="67"/>
        <v>2</v>
      </c>
      <c r="F95" s="191">
        <f t="shared" si="67"/>
        <v>5.57E-2</v>
      </c>
      <c r="G95" s="193">
        <f t="shared" si="61"/>
        <v>4.4666085183371271E-6</v>
      </c>
      <c r="H95" s="203">
        <f t="shared" si="62"/>
        <v>1.5812633311505194E-7</v>
      </c>
      <c r="I95" s="192">
        <f t="shared" si="63"/>
        <v>3.3658850330036515E-5</v>
      </c>
      <c r="J95" s="193">
        <f t="shared" si="64"/>
        <v>7.5356616080979855</v>
      </c>
      <c r="K95" s="192"/>
      <c r="L95" s="193">
        <f t="shared" si="65"/>
        <v>-8.2072023348771951E-7</v>
      </c>
      <c r="M95" s="211"/>
      <c r="N95" s="211"/>
      <c r="O95" s="211"/>
    </row>
    <row r="96" spans="1:15" s="208" customFormat="1" ht="20.100000000000001" customHeight="1" x14ac:dyDescent="0.25">
      <c r="A96" s="273"/>
      <c r="B96" s="161" t="s">
        <v>147</v>
      </c>
      <c r="C96" s="170">
        <f t="shared" ref="C96:F96" si="68">C84</f>
        <v>349.82990000000001</v>
      </c>
      <c r="D96" s="164">
        <f t="shared" si="68"/>
        <v>1</v>
      </c>
      <c r="E96" s="163">
        <f t="shared" si="68"/>
        <v>2</v>
      </c>
      <c r="F96" s="191">
        <f t="shared" si="68"/>
        <v>5.57E-2</v>
      </c>
      <c r="G96" s="193">
        <f t="shared" si="61"/>
        <v>2.0102063437426053E-6</v>
      </c>
      <c r="H96" s="203">
        <f t="shared" si="62"/>
        <v>3.6049411572641087E-8</v>
      </c>
      <c r="I96" s="192">
        <f t="shared" si="63"/>
        <v>1.2611162045515874E-5</v>
      </c>
      <c r="J96" s="193">
        <f t="shared" si="64"/>
        <v>6.2735659375327577</v>
      </c>
      <c r="K96" s="192"/>
      <c r="L96" s="193">
        <f t="shared" si="65"/>
        <v>-3.2771224080822413E-6</v>
      </c>
      <c r="M96" s="211"/>
      <c r="N96" s="211"/>
      <c r="O96" s="211"/>
    </row>
    <row r="97" spans="1:15" s="208" customFormat="1" ht="20.100000000000001" customHeight="1" thickBot="1" x14ac:dyDescent="0.3">
      <c r="A97" s="273"/>
      <c r="B97" s="171" t="s">
        <v>148</v>
      </c>
      <c r="C97" s="194">
        <f t="shared" ref="C97:F97" si="69">C85</f>
        <v>401.94900000000001</v>
      </c>
      <c r="D97" s="174">
        <f t="shared" si="69"/>
        <v>1</v>
      </c>
      <c r="E97" s="165">
        <f t="shared" si="69"/>
        <v>2</v>
      </c>
      <c r="F97" s="195">
        <f t="shared" si="69"/>
        <v>5.57E-2</v>
      </c>
      <c r="G97" s="197">
        <f t="shared" si="61"/>
        <v>1.5220496113005664E-5</v>
      </c>
      <c r="H97" s="204">
        <f t="shared" si="62"/>
        <v>1.5311735548244964E-6</v>
      </c>
      <c r="I97" s="196">
        <f t="shared" si="63"/>
        <v>6.1545367918815154E-4</v>
      </c>
      <c r="J97" s="197">
        <f t="shared" si="64"/>
        <v>40.435848780399247</v>
      </c>
      <c r="K97" s="196"/>
      <c r="L97" s="197">
        <f t="shared" si="65"/>
        <v>9.9331673611808167E-6</v>
      </c>
      <c r="M97" s="211"/>
      <c r="N97" s="211"/>
      <c r="O97" s="211"/>
    </row>
    <row r="98" spans="1:15" s="208" customFormat="1" ht="45" customHeight="1" thickBot="1" x14ac:dyDescent="0.3">
      <c r="A98" s="273"/>
      <c r="B98" s="651" t="s">
        <v>55</v>
      </c>
      <c r="C98" s="624"/>
      <c r="D98" s="624"/>
      <c r="E98" s="624"/>
      <c r="F98" s="624"/>
      <c r="G98" s="624"/>
      <c r="H98" s="652"/>
      <c r="I98" s="212">
        <f>SUM(I92:I97)</f>
        <v>9.440644614382254E-4</v>
      </c>
      <c r="J98" s="212">
        <f>SUM(J92:J97)</f>
        <v>96.51473139717443</v>
      </c>
      <c r="K98" s="198"/>
      <c r="L98" s="272"/>
      <c r="M98" s="211"/>
      <c r="N98" s="211"/>
      <c r="O98" s="211"/>
    </row>
    <row r="99" spans="1:15" s="208" customFormat="1" ht="30" customHeight="1" thickBot="1" x14ac:dyDescent="0.3">
      <c r="A99" s="273"/>
      <c r="B99" s="273"/>
      <c r="C99" s="273"/>
      <c r="D99" s="273"/>
      <c r="E99" s="273"/>
      <c r="F99" s="273"/>
      <c r="G99" s="273"/>
      <c r="H99" s="273"/>
      <c r="I99" s="273"/>
      <c r="J99" s="273"/>
      <c r="K99" s="273"/>
      <c r="L99" s="273"/>
      <c r="M99" s="211"/>
      <c r="N99" s="211"/>
      <c r="O99" s="211"/>
    </row>
    <row r="100" spans="1:15" s="208" customFormat="1" ht="20.100000000000001" customHeight="1" x14ac:dyDescent="0.25">
      <c r="A100" s="273"/>
      <c r="B100" s="626" t="s">
        <v>136</v>
      </c>
      <c r="C100" s="627"/>
      <c r="D100" s="627"/>
      <c r="E100" s="627"/>
      <c r="F100" s="627"/>
      <c r="G100" s="627"/>
      <c r="H100" s="627"/>
      <c r="I100" s="627"/>
      <c r="J100" s="627"/>
      <c r="K100" s="627"/>
      <c r="L100" s="628"/>
      <c r="M100" s="211"/>
      <c r="N100" s="211"/>
      <c r="O100" s="211"/>
    </row>
    <row r="101" spans="1:15" s="208" customFormat="1" ht="20.100000000000001" customHeight="1" thickBot="1" x14ac:dyDescent="0.3">
      <c r="A101" s="273"/>
      <c r="B101" s="629"/>
      <c r="C101" s="630"/>
      <c r="D101" s="630"/>
      <c r="E101" s="630"/>
      <c r="F101" s="630"/>
      <c r="G101" s="630"/>
      <c r="H101" s="630"/>
      <c r="I101" s="630"/>
      <c r="J101" s="630"/>
      <c r="K101" s="630"/>
      <c r="L101" s="631"/>
      <c r="M101" s="211"/>
      <c r="N101" s="211"/>
      <c r="O101" s="211"/>
    </row>
    <row r="102" spans="1:15" s="208" customFormat="1" ht="20.100000000000001" customHeight="1" x14ac:dyDescent="0.25">
      <c r="A102" s="273"/>
      <c r="B102" s="634" t="s">
        <v>29</v>
      </c>
      <c r="C102" s="154" t="s">
        <v>97</v>
      </c>
      <c r="D102" s="636" t="s">
        <v>101</v>
      </c>
      <c r="E102" s="636"/>
      <c r="F102" s="637"/>
      <c r="G102" s="274" t="s">
        <v>112</v>
      </c>
      <c r="H102" s="154" t="s">
        <v>98</v>
      </c>
      <c r="I102" s="154" t="s">
        <v>96</v>
      </c>
      <c r="J102" s="634" t="s">
        <v>113</v>
      </c>
      <c r="K102" s="634" t="s">
        <v>114</v>
      </c>
      <c r="L102" s="638" t="s">
        <v>115</v>
      </c>
      <c r="M102" s="211"/>
      <c r="N102" s="211"/>
      <c r="O102" s="211"/>
    </row>
    <row r="103" spans="1:15" s="208" customFormat="1" ht="20.100000000000001" customHeight="1" thickBot="1" x14ac:dyDescent="0.3">
      <c r="A103" s="273"/>
      <c r="B103" s="635"/>
      <c r="C103" s="155" t="s">
        <v>104</v>
      </c>
      <c r="D103" s="157" t="s">
        <v>107</v>
      </c>
      <c r="E103" s="157" t="s">
        <v>107</v>
      </c>
      <c r="F103" s="156" t="s">
        <v>104</v>
      </c>
      <c r="G103" s="187" t="s">
        <v>106</v>
      </c>
      <c r="H103" s="155" t="s">
        <v>105</v>
      </c>
      <c r="I103" s="155" t="s">
        <v>104</v>
      </c>
      <c r="J103" s="635"/>
      <c r="K103" s="635"/>
      <c r="L103" s="639"/>
      <c r="M103" s="211"/>
      <c r="N103" s="211"/>
      <c r="O103" s="211"/>
    </row>
    <row r="104" spans="1:15" s="208" customFormat="1" ht="20.100000000000001" customHeight="1" x14ac:dyDescent="0.25">
      <c r="A104" s="273"/>
      <c r="B104" s="158" t="s">
        <v>144</v>
      </c>
      <c r="C104" s="169">
        <f>C92</f>
        <v>23.626799999999999</v>
      </c>
      <c r="D104" s="159">
        <f>D92</f>
        <v>2</v>
      </c>
      <c r="E104" s="160">
        <f>E92</f>
        <v>2</v>
      </c>
      <c r="F104" s="188">
        <f>F92</f>
        <v>5.57E-2</v>
      </c>
      <c r="G104" s="200">
        <f>ABS(L92)</f>
        <v>2.6102001636675042E-6</v>
      </c>
      <c r="H104" s="201">
        <f>ABS((G104)/(0.2785*150*(F104^2.63)))^(1/0.54)</f>
        <v>5.8473570359423621E-8</v>
      </c>
      <c r="I104" s="189">
        <f>H104*C104</f>
        <v>1.3815433521680299E-6</v>
      </c>
      <c r="J104" s="200">
        <f>I104/G104</f>
        <v>0.52928636332122125</v>
      </c>
      <c r="K104" s="202">
        <f>(-I110)/(1.85*J110)</f>
        <v>-3.4742161812633716E-6</v>
      </c>
      <c r="L104" s="200">
        <f>G104+$K$104</f>
        <v>-8.6401601759586744E-7</v>
      </c>
      <c r="M104" s="211"/>
      <c r="N104" s="211"/>
      <c r="O104" s="211"/>
    </row>
    <row r="105" spans="1:15" s="208" customFormat="1" ht="20.100000000000001" customHeight="1" x14ac:dyDescent="0.25">
      <c r="A105" s="273"/>
      <c r="B105" s="161" t="s">
        <v>40</v>
      </c>
      <c r="C105" s="170">
        <f t="shared" ref="C105:F105" si="70">C93</f>
        <v>828.37099999999998</v>
      </c>
      <c r="D105" s="164">
        <f t="shared" si="70"/>
        <v>1</v>
      </c>
      <c r="E105" s="163">
        <f t="shared" si="70"/>
        <v>2</v>
      </c>
      <c r="F105" s="191">
        <f t="shared" si="70"/>
        <v>5.57E-2</v>
      </c>
      <c r="G105" s="193">
        <f t="shared" ref="G105:G109" si="71">ABS(L93)</f>
        <v>1.4547142618675919E-6</v>
      </c>
      <c r="H105" s="203">
        <f t="shared" ref="H105:H109" si="72">ABS((G105)/(0.2785*150*(F105^2.63)))^(1/0.54)</f>
        <v>1.9805308878091581E-8</v>
      </c>
      <c r="I105" s="192">
        <f t="shared" ref="I105:I109" si="73">H105*C105</f>
        <v>1.6406143520653602E-5</v>
      </c>
      <c r="J105" s="193">
        <f t="shared" ref="J105:J109" si="74">I105/G105</f>
        <v>11.277914811662779</v>
      </c>
      <c r="K105" s="192"/>
      <c r="L105" s="193">
        <f t="shared" ref="L105:L109" si="75">G105+$K$104</f>
        <v>-2.0195019193957797E-6</v>
      </c>
      <c r="M105" s="211"/>
      <c r="N105" s="211"/>
      <c r="O105" s="211"/>
    </row>
    <row r="106" spans="1:15" s="208" customFormat="1" ht="20.100000000000001" customHeight="1" x14ac:dyDescent="0.25">
      <c r="A106" s="273"/>
      <c r="B106" s="161" t="s">
        <v>145</v>
      </c>
      <c r="C106" s="170">
        <f t="shared" ref="C106:F106" si="76">C94</f>
        <v>6.3987999999999996</v>
      </c>
      <c r="D106" s="164">
        <f t="shared" si="76"/>
        <v>1</v>
      </c>
      <c r="E106" s="163">
        <f t="shared" si="76"/>
        <v>2</v>
      </c>
      <c r="F106" s="191">
        <f t="shared" si="76"/>
        <v>5.57E-2</v>
      </c>
      <c r="G106" s="193">
        <f t="shared" si="71"/>
        <v>3.9174532673358987E-6</v>
      </c>
      <c r="H106" s="203">
        <f t="shared" si="72"/>
        <v>1.2402141190389443E-7</v>
      </c>
      <c r="I106" s="192">
        <f t="shared" si="73"/>
        <v>7.9358821049063962E-7</v>
      </c>
      <c r="J106" s="193">
        <f t="shared" si="74"/>
        <v>0.20257758199891093</v>
      </c>
      <c r="K106" s="192"/>
      <c r="L106" s="193">
        <f t="shared" si="75"/>
        <v>4.432370860725271E-7</v>
      </c>
      <c r="M106" s="211"/>
      <c r="N106" s="211"/>
      <c r="O106" s="211"/>
    </row>
    <row r="107" spans="1:15" s="208" customFormat="1" ht="20.100000000000001" customHeight="1" x14ac:dyDescent="0.25">
      <c r="A107" s="273"/>
      <c r="B107" s="161" t="s">
        <v>146</v>
      </c>
      <c r="C107" s="170">
        <f t="shared" ref="C107:F107" si="77">C95</f>
        <v>212.8605</v>
      </c>
      <c r="D107" s="164">
        <f t="shared" si="77"/>
        <v>1</v>
      </c>
      <c r="E107" s="163">
        <f t="shared" si="77"/>
        <v>2</v>
      </c>
      <c r="F107" s="191">
        <f t="shared" si="77"/>
        <v>5.57E-2</v>
      </c>
      <c r="G107" s="193">
        <f t="shared" si="71"/>
        <v>8.2072023348771951E-7</v>
      </c>
      <c r="H107" s="203">
        <f t="shared" si="72"/>
        <v>6.8618868552822778E-9</v>
      </c>
      <c r="I107" s="192">
        <f t="shared" si="73"/>
        <v>1.4606246669588133E-6</v>
      </c>
      <c r="J107" s="193">
        <f t="shared" si="74"/>
        <v>1.7796864355978725</v>
      </c>
      <c r="K107" s="192"/>
      <c r="L107" s="193">
        <f t="shared" si="75"/>
        <v>-2.6534959477756521E-6</v>
      </c>
      <c r="M107" s="211"/>
      <c r="N107" s="211"/>
      <c r="O107" s="211"/>
    </row>
    <row r="108" spans="1:15" s="208" customFormat="1" ht="20.100000000000001" customHeight="1" x14ac:dyDescent="0.25">
      <c r="A108" s="273"/>
      <c r="B108" s="161" t="s">
        <v>147</v>
      </c>
      <c r="C108" s="170">
        <f t="shared" ref="C108:F108" si="78">C96</f>
        <v>349.82990000000001</v>
      </c>
      <c r="D108" s="164">
        <f t="shared" si="78"/>
        <v>1</v>
      </c>
      <c r="E108" s="163">
        <f t="shared" si="78"/>
        <v>2</v>
      </c>
      <c r="F108" s="191">
        <f t="shared" si="78"/>
        <v>5.57E-2</v>
      </c>
      <c r="G108" s="193">
        <f t="shared" si="71"/>
        <v>3.2771224080822413E-6</v>
      </c>
      <c r="H108" s="203">
        <f t="shared" si="72"/>
        <v>8.9116369321621643E-8</v>
      </c>
      <c r="I108" s="192">
        <f t="shared" si="73"/>
        <v>3.1175570568145965E-5</v>
      </c>
      <c r="J108" s="193">
        <f t="shared" si="74"/>
        <v>9.5130930999888346</v>
      </c>
      <c r="K108" s="192"/>
      <c r="L108" s="193">
        <f t="shared" si="75"/>
        <v>-1.9709377318113032E-7</v>
      </c>
      <c r="M108" s="211"/>
      <c r="N108" s="211"/>
      <c r="O108" s="211"/>
    </row>
    <row r="109" spans="1:15" s="208" customFormat="1" ht="20.100000000000001" customHeight="1" thickBot="1" x14ac:dyDescent="0.3">
      <c r="A109" s="273"/>
      <c r="B109" s="171" t="s">
        <v>148</v>
      </c>
      <c r="C109" s="194">
        <f t="shared" ref="C109:F109" si="79">C97</f>
        <v>401.94900000000001</v>
      </c>
      <c r="D109" s="174">
        <f t="shared" si="79"/>
        <v>1</v>
      </c>
      <c r="E109" s="165">
        <f t="shared" si="79"/>
        <v>2</v>
      </c>
      <c r="F109" s="195">
        <f t="shared" si="79"/>
        <v>5.57E-2</v>
      </c>
      <c r="G109" s="197">
        <f t="shared" si="71"/>
        <v>9.9331673611808167E-6</v>
      </c>
      <c r="H109" s="204">
        <f t="shared" si="72"/>
        <v>6.9470470871091012E-7</v>
      </c>
      <c r="I109" s="196">
        <f t="shared" si="73"/>
        <v>2.7923586296164162E-4</v>
      </c>
      <c r="J109" s="197">
        <f t="shared" si="74"/>
        <v>28.111462618953311</v>
      </c>
      <c r="K109" s="196"/>
      <c r="L109" s="197">
        <f t="shared" si="75"/>
        <v>6.4589511799174446E-6</v>
      </c>
      <c r="M109" s="211"/>
      <c r="N109" s="211"/>
      <c r="O109" s="211"/>
    </row>
    <row r="110" spans="1:15" s="208" customFormat="1" ht="45" customHeight="1" thickBot="1" x14ac:dyDescent="0.3">
      <c r="A110" s="273"/>
      <c r="B110" s="651" t="s">
        <v>55</v>
      </c>
      <c r="C110" s="624"/>
      <c r="D110" s="624"/>
      <c r="E110" s="624"/>
      <c r="F110" s="624"/>
      <c r="G110" s="624"/>
      <c r="H110" s="652"/>
      <c r="I110" s="212">
        <f>SUM(I104:I109)</f>
        <v>3.3045333328005869E-4</v>
      </c>
      <c r="J110" s="212">
        <f>SUM(J104:J109)</f>
        <v>51.414020911522925</v>
      </c>
      <c r="K110" s="198"/>
      <c r="L110" s="272"/>
      <c r="M110" s="211"/>
      <c r="N110" s="211"/>
      <c r="O110" s="211"/>
    </row>
    <row r="111" spans="1:15" s="208" customFormat="1" ht="30" customHeight="1" thickBot="1" x14ac:dyDescent="0.3">
      <c r="A111" s="273"/>
      <c r="B111" s="273"/>
      <c r="C111" s="273"/>
      <c r="D111" s="273"/>
      <c r="E111" s="273"/>
      <c r="F111" s="273"/>
      <c r="G111" s="273"/>
      <c r="H111" s="273"/>
      <c r="I111" s="273"/>
      <c r="J111" s="273"/>
      <c r="K111" s="273"/>
      <c r="L111" s="273"/>
      <c r="M111" s="211"/>
      <c r="N111" s="211"/>
      <c r="O111" s="211"/>
    </row>
    <row r="112" spans="1:15" s="208" customFormat="1" ht="20.100000000000001" customHeight="1" x14ac:dyDescent="0.25">
      <c r="A112" s="273"/>
      <c r="B112" s="626" t="s">
        <v>136</v>
      </c>
      <c r="C112" s="627"/>
      <c r="D112" s="627"/>
      <c r="E112" s="627"/>
      <c r="F112" s="627"/>
      <c r="G112" s="627"/>
      <c r="H112" s="627"/>
      <c r="I112" s="627"/>
      <c r="J112" s="627"/>
      <c r="K112" s="627"/>
      <c r="L112" s="628"/>
      <c r="M112" s="211"/>
      <c r="N112" s="211"/>
      <c r="O112" s="211"/>
    </row>
    <row r="113" spans="1:15" s="208" customFormat="1" ht="20.100000000000001" customHeight="1" thickBot="1" x14ac:dyDescent="0.3">
      <c r="A113" s="273"/>
      <c r="B113" s="629"/>
      <c r="C113" s="630"/>
      <c r="D113" s="630"/>
      <c r="E113" s="630"/>
      <c r="F113" s="630"/>
      <c r="G113" s="630"/>
      <c r="H113" s="630"/>
      <c r="I113" s="630"/>
      <c r="J113" s="630"/>
      <c r="K113" s="630"/>
      <c r="L113" s="631"/>
      <c r="M113" s="211"/>
      <c r="N113" s="211"/>
      <c r="O113" s="211"/>
    </row>
    <row r="114" spans="1:15" s="208" customFormat="1" ht="20.100000000000001" customHeight="1" x14ac:dyDescent="0.25">
      <c r="A114" s="273"/>
      <c r="B114" s="634" t="s">
        <v>29</v>
      </c>
      <c r="C114" s="154" t="s">
        <v>97</v>
      </c>
      <c r="D114" s="636" t="s">
        <v>101</v>
      </c>
      <c r="E114" s="636"/>
      <c r="F114" s="637"/>
      <c r="G114" s="274" t="s">
        <v>112</v>
      </c>
      <c r="H114" s="154" t="s">
        <v>98</v>
      </c>
      <c r="I114" s="154" t="s">
        <v>96</v>
      </c>
      <c r="J114" s="634" t="s">
        <v>113</v>
      </c>
      <c r="K114" s="634" t="s">
        <v>114</v>
      </c>
      <c r="L114" s="638" t="s">
        <v>115</v>
      </c>
      <c r="M114" s="211"/>
      <c r="N114" s="211"/>
      <c r="O114" s="211"/>
    </row>
    <row r="115" spans="1:15" s="208" customFormat="1" ht="20.100000000000001" customHeight="1" thickBot="1" x14ac:dyDescent="0.3">
      <c r="A115" s="273"/>
      <c r="B115" s="635"/>
      <c r="C115" s="155" t="s">
        <v>104</v>
      </c>
      <c r="D115" s="157" t="s">
        <v>107</v>
      </c>
      <c r="E115" s="157" t="s">
        <v>107</v>
      </c>
      <c r="F115" s="156" t="s">
        <v>104</v>
      </c>
      <c r="G115" s="187" t="s">
        <v>106</v>
      </c>
      <c r="H115" s="155" t="s">
        <v>105</v>
      </c>
      <c r="I115" s="155" t="s">
        <v>104</v>
      </c>
      <c r="J115" s="635"/>
      <c r="K115" s="635"/>
      <c r="L115" s="639"/>
      <c r="M115" s="210"/>
      <c r="N115" s="210"/>
      <c r="O115" s="210"/>
    </row>
    <row r="116" spans="1:15" s="208" customFormat="1" ht="20.100000000000001" customHeight="1" x14ac:dyDescent="0.25">
      <c r="A116" s="273"/>
      <c r="B116" s="158" t="s">
        <v>144</v>
      </c>
      <c r="C116" s="169">
        <f>C104</f>
        <v>23.626799999999999</v>
      </c>
      <c r="D116" s="159">
        <f>D104</f>
        <v>2</v>
      </c>
      <c r="E116" s="160">
        <f>E104</f>
        <v>2</v>
      </c>
      <c r="F116" s="188">
        <f>F104</f>
        <v>5.57E-2</v>
      </c>
      <c r="G116" s="200">
        <f>ABS(L104)</f>
        <v>8.6401601759586744E-7</v>
      </c>
      <c r="H116" s="201">
        <f>ABS((G116)/(0.2785*150*(F116^2.63)))^(1/0.54)</f>
        <v>7.5472581865125812E-9</v>
      </c>
      <c r="I116" s="189">
        <f>H116*C116</f>
        <v>1.7831755972109544E-7</v>
      </c>
      <c r="J116" s="200">
        <f>I116/G116</f>
        <v>0.20638223839560949</v>
      </c>
      <c r="K116" s="202">
        <f>(-I122)/(1.85*J122)</f>
        <v>-2.2666759291977564E-6</v>
      </c>
      <c r="L116" s="200">
        <f>G116+$K$116</f>
        <v>-1.402659911601889E-6</v>
      </c>
      <c r="M116" s="211"/>
      <c r="N116" s="211"/>
      <c r="O116" s="211"/>
    </row>
    <row r="117" spans="1:15" s="208" customFormat="1" ht="20.100000000000001" customHeight="1" x14ac:dyDescent="0.25">
      <c r="A117" s="273"/>
      <c r="B117" s="161" t="s">
        <v>40</v>
      </c>
      <c r="C117" s="170">
        <f t="shared" ref="C117:F117" si="80">C105</f>
        <v>828.37099999999998</v>
      </c>
      <c r="D117" s="164">
        <f t="shared" si="80"/>
        <v>1</v>
      </c>
      <c r="E117" s="163">
        <f t="shared" si="80"/>
        <v>2</v>
      </c>
      <c r="F117" s="191">
        <f t="shared" si="80"/>
        <v>5.57E-2</v>
      </c>
      <c r="G117" s="193">
        <f t="shared" ref="G117:G121" si="81">ABS(L105)</f>
        <v>2.0195019193957797E-6</v>
      </c>
      <c r="H117" s="203">
        <f t="shared" ref="H117:H121" si="82">ABS((G117)/(0.2785*150*(F117^2.63)))^(1/0.54)</f>
        <v>3.6358721888942981E-8</v>
      </c>
      <c r="I117" s="192">
        <f t="shared" ref="I117:I121" si="83">H117*C117</f>
        <v>3.0118510809865586E-5</v>
      </c>
      <c r="J117" s="193">
        <f t="shared" ref="J117:J121" si="84">I117/G117</f>
        <v>14.913831237593884</v>
      </c>
      <c r="K117" s="192"/>
      <c r="L117" s="193">
        <f t="shared" ref="L117:L121" si="85">G117+$K$116</f>
        <v>-2.4717400980197672E-7</v>
      </c>
      <c r="M117" s="211"/>
      <c r="N117" s="211"/>
      <c r="O117" s="211"/>
    </row>
    <row r="118" spans="1:15" s="208" customFormat="1" ht="20.100000000000001" customHeight="1" x14ac:dyDescent="0.25">
      <c r="A118" s="273"/>
      <c r="B118" s="161" t="s">
        <v>145</v>
      </c>
      <c r="C118" s="170">
        <f t="shared" ref="C118:F118" si="86">C106</f>
        <v>6.3987999999999996</v>
      </c>
      <c r="D118" s="164">
        <f t="shared" si="86"/>
        <v>1</v>
      </c>
      <c r="E118" s="163">
        <f t="shared" si="86"/>
        <v>2</v>
      </c>
      <c r="F118" s="191">
        <f t="shared" si="86"/>
        <v>5.57E-2</v>
      </c>
      <c r="G118" s="193">
        <f t="shared" si="81"/>
        <v>4.432370860725271E-7</v>
      </c>
      <c r="H118" s="203">
        <f t="shared" si="82"/>
        <v>2.1926223256787176E-9</v>
      </c>
      <c r="I118" s="192">
        <f t="shared" si="83"/>
        <v>1.4030151737552977E-8</v>
      </c>
      <c r="J118" s="193">
        <f t="shared" si="84"/>
        <v>3.1653830824204129E-2</v>
      </c>
      <c r="K118" s="192"/>
      <c r="L118" s="193">
        <f t="shared" si="85"/>
        <v>-1.8234388431252293E-6</v>
      </c>
      <c r="M118" s="211"/>
      <c r="N118" s="211"/>
      <c r="O118" s="211"/>
    </row>
    <row r="119" spans="1:15" s="208" customFormat="1" ht="20.100000000000001" customHeight="1" x14ac:dyDescent="0.25">
      <c r="A119" s="273"/>
      <c r="B119" s="161" t="s">
        <v>146</v>
      </c>
      <c r="C119" s="170">
        <f t="shared" ref="C119:F119" si="87">C107</f>
        <v>212.8605</v>
      </c>
      <c r="D119" s="164">
        <f t="shared" si="87"/>
        <v>1</v>
      </c>
      <c r="E119" s="163">
        <f t="shared" si="87"/>
        <v>2</v>
      </c>
      <c r="F119" s="191">
        <f t="shared" si="87"/>
        <v>5.57E-2</v>
      </c>
      <c r="G119" s="193">
        <f t="shared" si="81"/>
        <v>2.6534959477756521E-6</v>
      </c>
      <c r="H119" s="203">
        <f t="shared" si="82"/>
        <v>6.0282378999911361E-8</v>
      </c>
      <c r="I119" s="192">
        <f t="shared" si="83"/>
        <v>1.2831737335110633E-5</v>
      </c>
      <c r="J119" s="193">
        <f t="shared" si="84"/>
        <v>4.8357855401539629</v>
      </c>
      <c r="K119" s="192"/>
      <c r="L119" s="193">
        <f t="shared" si="85"/>
        <v>3.8682001857789567E-7</v>
      </c>
      <c r="M119" s="211"/>
      <c r="N119" s="211"/>
      <c r="O119" s="211"/>
    </row>
    <row r="120" spans="1:15" s="208" customFormat="1" ht="20.100000000000001" customHeight="1" x14ac:dyDescent="0.25">
      <c r="A120" s="273"/>
      <c r="B120" s="161" t="s">
        <v>147</v>
      </c>
      <c r="C120" s="170">
        <f t="shared" ref="C120:F120" si="88">C108</f>
        <v>349.82990000000001</v>
      </c>
      <c r="D120" s="164">
        <f t="shared" si="88"/>
        <v>1</v>
      </c>
      <c r="E120" s="163">
        <f t="shared" si="88"/>
        <v>2</v>
      </c>
      <c r="F120" s="191">
        <f t="shared" si="88"/>
        <v>5.57E-2</v>
      </c>
      <c r="G120" s="193">
        <f t="shared" si="81"/>
        <v>1.9709377318113032E-7</v>
      </c>
      <c r="H120" s="203">
        <f t="shared" si="82"/>
        <v>4.8885510145420078E-10</v>
      </c>
      <c r="I120" s="192">
        <f t="shared" si="83"/>
        <v>1.7101613125621291E-7</v>
      </c>
      <c r="J120" s="193">
        <f t="shared" si="84"/>
        <v>0.86768916387352379</v>
      </c>
      <c r="K120" s="192"/>
      <c r="L120" s="193">
        <f t="shared" si="85"/>
        <v>-2.0695821560166261E-6</v>
      </c>
      <c r="M120" s="211"/>
      <c r="N120" s="211"/>
      <c r="O120" s="211"/>
    </row>
    <row r="121" spans="1:15" s="208" customFormat="1" ht="20.100000000000001" customHeight="1" thickBot="1" x14ac:dyDescent="0.3">
      <c r="A121" s="273"/>
      <c r="B121" s="171" t="s">
        <v>148</v>
      </c>
      <c r="C121" s="194">
        <f t="shared" ref="C121:F121" si="89">C109</f>
        <v>401.94900000000001</v>
      </c>
      <c r="D121" s="174">
        <f t="shared" si="89"/>
        <v>1</v>
      </c>
      <c r="E121" s="165">
        <f t="shared" si="89"/>
        <v>2</v>
      </c>
      <c r="F121" s="195">
        <f t="shared" si="89"/>
        <v>5.57E-2</v>
      </c>
      <c r="G121" s="197">
        <f t="shared" si="81"/>
        <v>6.4589511799174446E-6</v>
      </c>
      <c r="H121" s="204">
        <f t="shared" si="82"/>
        <v>3.1306999373556025E-7</v>
      </c>
      <c r="I121" s="196">
        <f t="shared" si="83"/>
        <v>1.2583817091201471E-4</v>
      </c>
      <c r="J121" s="197">
        <f t="shared" si="84"/>
        <v>19.482756163768236</v>
      </c>
      <c r="K121" s="196"/>
      <c r="L121" s="197">
        <f t="shared" si="85"/>
        <v>4.1922752507196878E-6</v>
      </c>
      <c r="M121" s="211"/>
      <c r="N121" s="211"/>
      <c r="O121" s="211"/>
    </row>
    <row r="122" spans="1:15" s="208" customFormat="1" ht="45" customHeight="1" thickBot="1" x14ac:dyDescent="0.3">
      <c r="A122" s="273"/>
      <c r="B122" s="651" t="s">
        <v>55</v>
      </c>
      <c r="C122" s="624"/>
      <c r="D122" s="624"/>
      <c r="E122" s="624"/>
      <c r="F122" s="624"/>
      <c r="G122" s="624"/>
      <c r="H122" s="652"/>
      <c r="I122" s="212">
        <f>SUM(I116:I121)</f>
        <v>1.6915178289970579E-4</v>
      </c>
      <c r="J122" s="212">
        <f>SUM(J116:J121)</f>
        <v>40.338098174609421</v>
      </c>
      <c r="K122" s="198"/>
      <c r="L122" s="272"/>
      <c r="M122" s="211"/>
      <c r="N122" s="211"/>
      <c r="O122" s="211"/>
    </row>
    <row r="123" spans="1:15" s="208" customFormat="1" ht="30" customHeight="1" thickBot="1" x14ac:dyDescent="0.3">
      <c r="A123" s="273"/>
      <c r="B123" s="273"/>
      <c r="C123" s="273"/>
      <c r="D123" s="273"/>
      <c r="E123" s="273"/>
      <c r="F123" s="273"/>
      <c r="G123" s="273"/>
      <c r="H123" s="273"/>
      <c r="I123" s="273"/>
      <c r="J123" s="273"/>
      <c r="K123" s="273"/>
      <c r="L123" s="273"/>
      <c r="M123" s="211"/>
      <c r="N123" s="211"/>
      <c r="O123" s="211"/>
    </row>
    <row r="124" spans="1:15" s="208" customFormat="1" ht="20.100000000000001" customHeight="1" x14ac:dyDescent="0.25">
      <c r="A124" s="273"/>
      <c r="B124" s="626" t="s">
        <v>136</v>
      </c>
      <c r="C124" s="627"/>
      <c r="D124" s="627"/>
      <c r="E124" s="627"/>
      <c r="F124" s="627"/>
      <c r="G124" s="627"/>
      <c r="H124" s="627"/>
      <c r="I124" s="627"/>
      <c r="J124" s="627"/>
      <c r="K124" s="627"/>
      <c r="L124" s="628"/>
      <c r="M124" s="211"/>
      <c r="N124" s="211"/>
      <c r="O124" s="211"/>
    </row>
    <row r="125" spans="1:15" s="208" customFormat="1" ht="20.100000000000001" customHeight="1" thickBot="1" x14ac:dyDescent="0.3">
      <c r="A125" s="273"/>
      <c r="B125" s="629"/>
      <c r="C125" s="630"/>
      <c r="D125" s="630"/>
      <c r="E125" s="630"/>
      <c r="F125" s="630"/>
      <c r="G125" s="630"/>
      <c r="H125" s="630"/>
      <c r="I125" s="630"/>
      <c r="J125" s="630"/>
      <c r="K125" s="630"/>
      <c r="L125" s="631"/>
      <c r="M125" s="211"/>
      <c r="N125" s="211"/>
      <c r="O125" s="211"/>
    </row>
    <row r="126" spans="1:15" s="208" customFormat="1" ht="20.100000000000001" customHeight="1" x14ac:dyDescent="0.25">
      <c r="A126" s="273"/>
      <c r="B126" s="634" t="s">
        <v>29</v>
      </c>
      <c r="C126" s="154" t="s">
        <v>97</v>
      </c>
      <c r="D126" s="636" t="s">
        <v>101</v>
      </c>
      <c r="E126" s="636"/>
      <c r="F126" s="637"/>
      <c r="G126" s="274" t="s">
        <v>112</v>
      </c>
      <c r="H126" s="154" t="s">
        <v>98</v>
      </c>
      <c r="I126" s="154" t="s">
        <v>96</v>
      </c>
      <c r="J126" s="634" t="s">
        <v>113</v>
      </c>
      <c r="K126" s="634" t="s">
        <v>114</v>
      </c>
      <c r="L126" s="638" t="s">
        <v>115</v>
      </c>
      <c r="M126" s="211"/>
      <c r="N126" s="211"/>
      <c r="O126" s="211"/>
    </row>
    <row r="127" spans="1:15" s="208" customFormat="1" ht="20.100000000000001" customHeight="1" thickBot="1" x14ac:dyDescent="0.3">
      <c r="A127" s="273"/>
      <c r="B127" s="635"/>
      <c r="C127" s="155" t="s">
        <v>104</v>
      </c>
      <c r="D127" s="157" t="s">
        <v>107</v>
      </c>
      <c r="E127" s="157" t="s">
        <v>107</v>
      </c>
      <c r="F127" s="156" t="s">
        <v>104</v>
      </c>
      <c r="G127" s="187" t="s">
        <v>106</v>
      </c>
      <c r="H127" s="155" t="s">
        <v>105</v>
      </c>
      <c r="I127" s="155" t="s">
        <v>104</v>
      </c>
      <c r="J127" s="635"/>
      <c r="K127" s="635"/>
      <c r="L127" s="639"/>
      <c r="M127" s="211"/>
      <c r="N127" s="211"/>
      <c r="O127" s="211"/>
    </row>
    <row r="128" spans="1:15" s="208" customFormat="1" ht="20.100000000000001" customHeight="1" x14ac:dyDescent="0.25">
      <c r="A128" s="273"/>
      <c r="B128" s="158" t="s">
        <v>144</v>
      </c>
      <c r="C128" s="169">
        <f>C116</f>
        <v>23.626799999999999</v>
      </c>
      <c r="D128" s="159">
        <f>D116</f>
        <v>2</v>
      </c>
      <c r="E128" s="160">
        <f>E116</f>
        <v>2</v>
      </c>
      <c r="F128" s="188">
        <f>F116</f>
        <v>5.57E-2</v>
      </c>
      <c r="G128" s="200">
        <f>ABS(L116)</f>
        <v>1.402659911601889E-6</v>
      </c>
      <c r="H128" s="201">
        <f>ABS((G128)/(0.2785*150*(F128^2.63)))^(1/0.54)</f>
        <v>1.8512943986351785E-8</v>
      </c>
      <c r="I128" s="189">
        <f>H128*C128</f>
        <v>4.3740162497673635E-7</v>
      </c>
      <c r="J128" s="200">
        <f>I128/G128</f>
        <v>0.31183726102017678</v>
      </c>
      <c r="K128" s="202">
        <f>(-I134)/(1.85*J134)</f>
        <v>-1.6252280630692701E-6</v>
      </c>
      <c r="L128" s="200">
        <f>G128+$K$128</f>
        <v>-2.2256815146738111E-7</v>
      </c>
      <c r="M128" s="211"/>
      <c r="N128" s="211"/>
      <c r="O128" s="211"/>
    </row>
    <row r="129" spans="1:15" s="208" customFormat="1" ht="20.100000000000001" customHeight="1" x14ac:dyDescent="0.25">
      <c r="A129" s="273"/>
      <c r="B129" s="161" t="s">
        <v>40</v>
      </c>
      <c r="C129" s="170">
        <f t="shared" ref="C129:F129" si="90">C117</f>
        <v>828.37099999999998</v>
      </c>
      <c r="D129" s="164">
        <f t="shared" si="90"/>
        <v>1</v>
      </c>
      <c r="E129" s="163">
        <f t="shared" si="90"/>
        <v>2</v>
      </c>
      <c r="F129" s="191">
        <f t="shared" si="90"/>
        <v>5.57E-2</v>
      </c>
      <c r="G129" s="193">
        <f t="shared" ref="G129:G133" si="91">ABS(L117)</f>
        <v>2.4717400980197672E-7</v>
      </c>
      <c r="H129" s="203">
        <f t="shared" ref="H129:H133" si="92">ABS((G129)/(0.2785*150*(F129^2.63)))^(1/0.54)</f>
        <v>7.4348559357501255E-10</v>
      </c>
      <c r="I129" s="192">
        <f t="shared" ref="I129:I133" si="93">H129*C129</f>
        <v>6.158819046353267E-7</v>
      </c>
      <c r="J129" s="193">
        <f t="shared" ref="J129:J133" si="94">I129/G129</f>
        <v>2.4916936255908948</v>
      </c>
      <c r="K129" s="192"/>
      <c r="L129" s="193">
        <f t="shared" ref="L129:L133" si="95">G129+$K$128</f>
        <v>-1.3780540532672934E-6</v>
      </c>
      <c r="M129" s="211"/>
      <c r="N129" s="211"/>
      <c r="O129" s="211"/>
    </row>
    <row r="130" spans="1:15" s="208" customFormat="1" ht="20.100000000000001" customHeight="1" x14ac:dyDescent="0.25">
      <c r="A130" s="273"/>
      <c r="B130" s="161" t="s">
        <v>145</v>
      </c>
      <c r="C130" s="170">
        <f t="shared" ref="C130:F130" si="96">C118</f>
        <v>6.3987999999999996</v>
      </c>
      <c r="D130" s="164">
        <f t="shared" si="96"/>
        <v>1</v>
      </c>
      <c r="E130" s="163">
        <f t="shared" si="96"/>
        <v>2</v>
      </c>
      <c r="F130" s="191">
        <f t="shared" si="96"/>
        <v>5.57E-2</v>
      </c>
      <c r="G130" s="193">
        <f t="shared" si="91"/>
        <v>1.8234388431252293E-6</v>
      </c>
      <c r="H130" s="203">
        <f t="shared" si="92"/>
        <v>3.0093541264736012E-8</v>
      </c>
      <c r="I130" s="192">
        <f t="shared" si="93"/>
        <v>1.9256255184479277E-7</v>
      </c>
      <c r="J130" s="193">
        <f t="shared" si="94"/>
        <v>0.10560406375612567</v>
      </c>
      <c r="K130" s="192"/>
      <c r="L130" s="193">
        <f t="shared" si="95"/>
        <v>1.9821078005595923E-7</v>
      </c>
      <c r="M130" s="211"/>
      <c r="N130" s="211"/>
      <c r="O130" s="211"/>
    </row>
    <row r="131" spans="1:15" s="208" customFormat="1" ht="20.100000000000001" customHeight="1" x14ac:dyDescent="0.25">
      <c r="A131" s="273"/>
      <c r="B131" s="161" t="s">
        <v>146</v>
      </c>
      <c r="C131" s="170">
        <f t="shared" ref="C131:F131" si="97">C119</f>
        <v>212.8605</v>
      </c>
      <c r="D131" s="164">
        <f t="shared" si="97"/>
        <v>1</v>
      </c>
      <c r="E131" s="163">
        <f t="shared" si="97"/>
        <v>2</v>
      </c>
      <c r="F131" s="191">
        <f t="shared" si="97"/>
        <v>5.57E-2</v>
      </c>
      <c r="G131" s="193">
        <f t="shared" si="91"/>
        <v>3.8682001857789567E-7</v>
      </c>
      <c r="H131" s="203">
        <f t="shared" si="92"/>
        <v>1.70399811629143E-9</v>
      </c>
      <c r="I131" s="192">
        <f t="shared" si="93"/>
        <v>3.6271389103285194E-7</v>
      </c>
      <c r="J131" s="193">
        <f t="shared" si="94"/>
        <v>0.93768128228299186</v>
      </c>
      <c r="K131" s="192"/>
      <c r="L131" s="193">
        <f t="shared" si="95"/>
        <v>-1.2384080444913744E-6</v>
      </c>
      <c r="M131" s="211"/>
      <c r="N131" s="211"/>
      <c r="O131" s="211"/>
    </row>
    <row r="132" spans="1:15" s="208" customFormat="1" ht="20.100000000000001" customHeight="1" x14ac:dyDescent="0.25">
      <c r="A132" s="273"/>
      <c r="B132" s="161" t="s">
        <v>147</v>
      </c>
      <c r="C132" s="170">
        <f t="shared" ref="C132:F132" si="98">C120</f>
        <v>349.82990000000001</v>
      </c>
      <c r="D132" s="164">
        <f t="shared" si="98"/>
        <v>1</v>
      </c>
      <c r="E132" s="163">
        <f t="shared" si="98"/>
        <v>2</v>
      </c>
      <c r="F132" s="191">
        <f t="shared" si="98"/>
        <v>5.57E-2</v>
      </c>
      <c r="G132" s="193">
        <f t="shared" si="91"/>
        <v>2.0695821560166261E-6</v>
      </c>
      <c r="H132" s="203">
        <f t="shared" si="92"/>
        <v>3.8046030406356749E-8</v>
      </c>
      <c r="I132" s="192">
        <f t="shared" si="93"/>
        <v>1.3309639012452742E-5</v>
      </c>
      <c r="J132" s="193">
        <f t="shared" si="94"/>
        <v>6.431075458280004</v>
      </c>
      <c r="K132" s="192"/>
      <c r="L132" s="193">
        <f t="shared" si="95"/>
        <v>4.4435409294735601E-7</v>
      </c>
      <c r="M132" s="211"/>
      <c r="N132" s="211"/>
      <c r="O132" s="211"/>
    </row>
    <row r="133" spans="1:15" s="208" customFormat="1" ht="20.100000000000001" customHeight="1" thickBot="1" x14ac:dyDescent="0.3">
      <c r="A133" s="273"/>
      <c r="B133" s="171" t="s">
        <v>148</v>
      </c>
      <c r="C133" s="194">
        <f t="shared" ref="C133:F133" si="99">C121</f>
        <v>401.94900000000001</v>
      </c>
      <c r="D133" s="174">
        <f t="shared" si="99"/>
        <v>1</v>
      </c>
      <c r="E133" s="165">
        <f t="shared" si="99"/>
        <v>2</v>
      </c>
      <c r="F133" s="195">
        <f t="shared" si="99"/>
        <v>5.57E-2</v>
      </c>
      <c r="G133" s="197">
        <f t="shared" si="91"/>
        <v>4.1922752507196878E-6</v>
      </c>
      <c r="H133" s="204">
        <f t="shared" si="92"/>
        <v>1.4061324664055256E-7</v>
      </c>
      <c r="I133" s="196">
        <f t="shared" si="93"/>
        <v>5.6519353873923463E-5</v>
      </c>
      <c r="J133" s="197">
        <f t="shared" si="94"/>
        <v>13.481785067481146</v>
      </c>
      <c r="K133" s="196"/>
      <c r="L133" s="197">
        <f t="shared" si="95"/>
        <v>2.5670471876504175E-6</v>
      </c>
      <c r="M133" s="211"/>
      <c r="N133" s="211"/>
      <c r="O133" s="211"/>
    </row>
    <row r="134" spans="1:15" s="208" customFormat="1" ht="45" customHeight="1" thickBot="1" x14ac:dyDescent="0.3">
      <c r="A134" s="273"/>
      <c r="B134" s="651" t="s">
        <v>55</v>
      </c>
      <c r="C134" s="624"/>
      <c r="D134" s="624"/>
      <c r="E134" s="624"/>
      <c r="F134" s="624"/>
      <c r="G134" s="624"/>
      <c r="H134" s="652"/>
      <c r="I134" s="212">
        <f>SUM(I128:I133)</f>
        <v>7.1437552858865907E-5</v>
      </c>
      <c r="J134" s="212">
        <f>SUM(J128:J133)</f>
        <v>23.759676758411338</v>
      </c>
      <c r="K134" s="198"/>
      <c r="L134" s="272"/>
      <c r="M134" s="211"/>
      <c r="N134" s="211"/>
      <c r="O134" s="211"/>
    </row>
    <row r="135" spans="1:15" s="208" customFormat="1" ht="30" customHeight="1" thickBot="1" x14ac:dyDescent="0.3">
      <c r="A135" s="273"/>
      <c r="B135" s="273"/>
      <c r="C135" s="273"/>
      <c r="D135" s="273"/>
      <c r="E135" s="273"/>
      <c r="F135" s="273"/>
      <c r="G135" s="273"/>
      <c r="H135" s="273"/>
      <c r="I135" s="273"/>
      <c r="J135" s="273"/>
      <c r="K135" s="273"/>
      <c r="L135" s="273"/>
      <c r="M135" s="211"/>
      <c r="N135" s="211"/>
      <c r="O135" s="211"/>
    </row>
    <row r="136" spans="1:15" s="208" customFormat="1" ht="20.100000000000001" customHeight="1" x14ac:dyDescent="0.25">
      <c r="A136" s="273"/>
      <c r="B136" s="626" t="s">
        <v>136</v>
      </c>
      <c r="C136" s="627"/>
      <c r="D136" s="627"/>
      <c r="E136" s="627"/>
      <c r="F136" s="627"/>
      <c r="G136" s="627"/>
      <c r="H136" s="627"/>
      <c r="I136" s="627"/>
      <c r="J136" s="627"/>
      <c r="K136" s="627"/>
      <c r="L136" s="628"/>
      <c r="M136" s="211"/>
      <c r="N136" s="211"/>
      <c r="O136" s="211"/>
    </row>
    <row r="137" spans="1:15" s="208" customFormat="1" ht="20.100000000000001" customHeight="1" thickBot="1" x14ac:dyDescent="0.3">
      <c r="A137" s="273"/>
      <c r="B137" s="629"/>
      <c r="C137" s="630"/>
      <c r="D137" s="630"/>
      <c r="E137" s="630"/>
      <c r="F137" s="630"/>
      <c r="G137" s="630"/>
      <c r="H137" s="630"/>
      <c r="I137" s="630"/>
      <c r="J137" s="630"/>
      <c r="K137" s="630"/>
      <c r="L137" s="631"/>
      <c r="M137" s="211"/>
      <c r="N137" s="211"/>
      <c r="O137" s="211"/>
    </row>
    <row r="138" spans="1:15" s="208" customFormat="1" ht="20.100000000000001" customHeight="1" x14ac:dyDescent="0.25">
      <c r="A138" s="273"/>
      <c r="B138" s="634" t="s">
        <v>29</v>
      </c>
      <c r="C138" s="154" t="s">
        <v>97</v>
      </c>
      <c r="D138" s="636" t="s">
        <v>101</v>
      </c>
      <c r="E138" s="636"/>
      <c r="F138" s="637"/>
      <c r="G138" s="274" t="s">
        <v>112</v>
      </c>
      <c r="H138" s="154" t="s">
        <v>98</v>
      </c>
      <c r="I138" s="154" t="s">
        <v>96</v>
      </c>
      <c r="J138" s="634" t="s">
        <v>113</v>
      </c>
      <c r="K138" s="634" t="s">
        <v>114</v>
      </c>
      <c r="L138" s="638" t="s">
        <v>115</v>
      </c>
      <c r="M138" s="211"/>
      <c r="N138" s="211"/>
      <c r="O138" s="211"/>
    </row>
    <row r="139" spans="1:15" s="208" customFormat="1" ht="20.100000000000001" customHeight="1" thickBot="1" x14ac:dyDescent="0.3">
      <c r="A139" s="273"/>
      <c r="B139" s="635"/>
      <c r="C139" s="155" t="s">
        <v>104</v>
      </c>
      <c r="D139" s="157" t="s">
        <v>107</v>
      </c>
      <c r="E139" s="157" t="s">
        <v>107</v>
      </c>
      <c r="F139" s="156" t="s">
        <v>104</v>
      </c>
      <c r="G139" s="187" t="s">
        <v>106</v>
      </c>
      <c r="H139" s="155" t="s">
        <v>105</v>
      </c>
      <c r="I139" s="155" t="s">
        <v>104</v>
      </c>
      <c r="J139" s="635"/>
      <c r="K139" s="635"/>
      <c r="L139" s="639"/>
      <c r="M139" s="211"/>
      <c r="N139" s="211"/>
      <c r="O139" s="211"/>
    </row>
    <row r="140" spans="1:15" s="208" customFormat="1" ht="20.100000000000001" customHeight="1" x14ac:dyDescent="0.25">
      <c r="A140" s="273"/>
      <c r="B140" s="158" t="s">
        <v>144</v>
      </c>
      <c r="C140" s="169">
        <f>C128</f>
        <v>23.626799999999999</v>
      </c>
      <c r="D140" s="159">
        <f>D128</f>
        <v>2</v>
      </c>
      <c r="E140" s="160">
        <f>E128</f>
        <v>2</v>
      </c>
      <c r="F140" s="188">
        <f>F128</f>
        <v>5.57E-2</v>
      </c>
      <c r="G140" s="200">
        <f>ABS(L128)</f>
        <v>2.2256815146738111E-7</v>
      </c>
      <c r="H140" s="201">
        <f>ABS((G140)/(0.2785*150*(F140^2.63)))^(1/0.54)</f>
        <v>6.1226526806016718E-10</v>
      </c>
      <c r="I140" s="189">
        <f>H140*C140</f>
        <v>1.4465869035403957E-8</v>
      </c>
      <c r="J140" s="200">
        <f>I140/G140</f>
        <v>6.4995233774604227E-2</v>
      </c>
      <c r="K140" s="202">
        <f>(-I146)/(1.85*J146)</f>
        <v>-9.3618083688580998E-7</v>
      </c>
      <c r="L140" s="200">
        <f>G140+$K$140</f>
        <v>-7.1361268541842887E-7</v>
      </c>
      <c r="M140" s="210"/>
      <c r="N140" s="210"/>
      <c r="O140" s="210"/>
    </row>
    <row r="141" spans="1:15" s="208" customFormat="1" ht="20.100000000000001" customHeight="1" x14ac:dyDescent="0.25">
      <c r="A141" s="273"/>
      <c r="B141" s="161" t="s">
        <v>40</v>
      </c>
      <c r="C141" s="170">
        <f t="shared" ref="C141:F141" si="100">C129</f>
        <v>828.37099999999998</v>
      </c>
      <c r="D141" s="164">
        <f t="shared" si="100"/>
        <v>1</v>
      </c>
      <c r="E141" s="163">
        <f t="shared" si="100"/>
        <v>2</v>
      </c>
      <c r="F141" s="191">
        <f t="shared" si="100"/>
        <v>5.57E-2</v>
      </c>
      <c r="G141" s="193">
        <f t="shared" ref="G141:G145" si="101">ABS(L129)</f>
        <v>1.3780540532672934E-6</v>
      </c>
      <c r="H141" s="203">
        <f t="shared" ref="H141:H145" si="102">ABS((G141)/(0.2785*150*(F141^2.63)))^(1/0.54)</f>
        <v>1.7916035287691473E-8</v>
      </c>
      <c r="I141" s="192">
        <f t="shared" ref="I141:I145" si="103">H141*C141</f>
        <v>1.4841124067300273E-5</v>
      </c>
      <c r="J141" s="193">
        <f t="shared" ref="J141:J145" si="104">I141/G141</f>
        <v>10.76962404494421</v>
      </c>
      <c r="K141" s="192"/>
      <c r="L141" s="193">
        <f t="shared" ref="L141:L145" si="105">G141+$K$140</f>
        <v>4.4187321638148341E-7</v>
      </c>
      <c r="M141" s="211"/>
      <c r="N141" s="211"/>
      <c r="O141" s="211"/>
    </row>
    <row r="142" spans="1:15" s="208" customFormat="1" ht="20.100000000000001" customHeight="1" x14ac:dyDescent="0.25">
      <c r="A142" s="273"/>
      <c r="B142" s="161" t="s">
        <v>145</v>
      </c>
      <c r="C142" s="170">
        <f t="shared" ref="C142:F142" si="106">C130</f>
        <v>6.3987999999999996</v>
      </c>
      <c r="D142" s="164">
        <f t="shared" si="106"/>
        <v>1</v>
      </c>
      <c r="E142" s="163">
        <f t="shared" si="106"/>
        <v>2</v>
      </c>
      <c r="F142" s="191">
        <f t="shared" si="106"/>
        <v>5.57E-2</v>
      </c>
      <c r="G142" s="193">
        <f t="shared" si="101"/>
        <v>1.9821078005595923E-7</v>
      </c>
      <c r="H142" s="203">
        <f t="shared" si="102"/>
        <v>4.9399809662658692E-10</v>
      </c>
      <c r="I142" s="192">
        <f t="shared" si="103"/>
        <v>3.1609950206942042E-9</v>
      </c>
      <c r="J142" s="193">
        <f t="shared" si="104"/>
        <v>1.594764431985882E-2</v>
      </c>
      <c r="K142" s="192"/>
      <c r="L142" s="193">
        <f t="shared" si="105"/>
        <v>-7.3797005682985075E-7</v>
      </c>
      <c r="M142" s="211"/>
      <c r="N142" s="211"/>
      <c r="O142" s="211"/>
    </row>
    <row r="143" spans="1:15" s="208" customFormat="1" ht="20.100000000000001" customHeight="1" x14ac:dyDescent="0.25">
      <c r="A143" s="273"/>
      <c r="B143" s="161" t="s">
        <v>146</v>
      </c>
      <c r="C143" s="170">
        <f t="shared" ref="C143:F143" si="107">C131</f>
        <v>212.8605</v>
      </c>
      <c r="D143" s="164">
        <f t="shared" si="107"/>
        <v>1</v>
      </c>
      <c r="E143" s="163">
        <f t="shared" si="107"/>
        <v>2</v>
      </c>
      <c r="F143" s="191">
        <f t="shared" si="107"/>
        <v>5.57E-2</v>
      </c>
      <c r="G143" s="193">
        <f t="shared" si="101"/>
        <v>1.2384080444913744E-6</v>
      </c>
      <c r="H143" s="203">
        <f t="shared" si="102"/>
        <v>1.4699798280831364E-8</v>
      </c>
      <c r="I143" s="192">
        <f t="shared" si="103"/>
        <v>3.1290064119569047E-6</v>
      </c>
      <c r="J143" s="193">
        <f t="shared" si="104"/>
        <v>2.5266360517239828</v>
      </c>
      <c r="K143" s="192"/>
      <c r="L143" s="193">
        <f t="shared" si="105"/>
        <v>3.0222720760556445E-7</v>
      </c>
      <c r="M143" s="211"/>
      <c r="N143" s="211"/>
      <c r="O143" s="211"/>
    </row>
    <row r="144" spans="1:15" s="208" customFormat="1" ht="20.100000000000001" customHeight="1" x14ac:dyDescent="0.25">
      <c r="A144" s="273"/>
      <c r="B144" s="161" t="s">
        <v>147</v>
      </c>
      <c r="C144" s="170">
        <f t="shared" ref="C144:F144" si="108">C132</f>
        <v>349.82990000000001</v>
      </c>
      <c r="D144" s="164">
        <f t="shared" si="108"/>
        <v>1</v>
      </c>
      <c r="E144" s="163">
        <f t="shared" si="108"/>
        <v>2</v>
      </c>
      <c r="F144" s="191">
        <f t="shared" si="108"/>
        <v>5.57E-2</v>
      </c>
      <c r="G144" s="193">
        <f t="shared" si="101"/>
        <v>4.4435409294735601E-7</v>
      </c>
      <c r="H144" s="203">
        <f t="shared" si="102"/>
        <v>2.2028659981144172E-9</v>
      </c>
      <c r="I144" s="192">
        <f t="shared" si="103"/>
        <v>7.7062839183376677E-7</v>
      </c>
      <c r="J144" s="193">
        <f t="shared" si="104"/>
        <v>1.7342664421571232</v>
      </c>
      <c r="K144" s="192"/>
      <c r="L144" s="193">
        <f t="shared" si="105"/>
        <v>-4.9182674393845398E-7</v>
      </c>
      <c r="M144" s="211"/>
      <c r="N144" s="211"/>
      <c r="O144" s="211"/>
    </row>
    <row r="145" spans="1:15" s="208" customFormat="1" ht="20.100000000000001" customHeight="1" thickBot="1" x14ac:dyDescent="0.3">
      <c r="A145" s="273"/>
      <c r="B145" s="171" t="s">
        <v>148</v>
      </c>
      <c r="C145" s="194">
        <f t="shared" ref="C145:F145" si="109">C133</f>
        <v>401.94900000000001</v>
      </c>
      <c r="D145" s="174">
        <f t="shared" si="109"/>
        <v>1</v>
      </c>
      <c r="E145" s="165">
        <f t="shared" si="109"/>
        <v>2</v>
      </c>
      <c r="F145" s="195">
        <f t="shared" si="109"/>
        <v>5.57E-2</v>
      </c>
      <c r="G145" s="197">
        <f t="shared" si="101"/>
        <v>2.5670471876504175E-6</v>
      </c>
      <c r="H145" s="204">
        <f t="shared" si="102"/>
        <v>5.6695981490987589E-8</v>
      </c>
      <c r="I145" s="196">
        <f t="shared" si="103"/>
        <v>2.278889306432097E-5</v>
      </c>
      <c r="J145" s="197">
        <f t="shared" si="104"/>
        <v>8.8774733763968428</v>
      </c>
      <c r="K145" s="196"/>
      <c r="L145" s="197">
        <f t="shared" si="105"/>
        <v>1.6308663507646074E-6</v>
      </c>
      <c r="M145" s="211"/>
      <c r="N145" s="211"/>
      <c r="O145" s="211"/>
    </row>
    <row r="146" spans="1:15" s="208" customFormat="1" ht="45" customHeight="1" thickBot="1" x14ac:dyDescent="0.3">
      <c r="A146" s="273"/>
      <c r="B146" s="651" t="s">
        <v>55</v>
      </c>
      <c r="C146" s="624"/>
      <c r="D146" s="624"/>
      <c r="E146" s="624"/>
      <c r="F146" s="624"/>
      <c r="G146" s="624"/>
      <c r="H146" s="652"/>
      <c r="I146" s="212">
        <f>SUM(I140:I145)</f>
        <v>4.154727879946801E-5</v>
      </c>
      <c r="J146" s="212">
        <f>SUM(J140:J145)</f>
        <v>23.988942793316625</v>
      </c>
      <c r="K146" s="198"/>
      <c r="L146" s="272"/>
      <c r="M146" s="211"/>
      <c r="N146" s="211"/>
      <c r="O146" s="211"/>
    </row>
    <row r="147" spans="1:15" s="208" customFormat="1" ht="30" customHeight="1" thickBot="1" x14ac:dyDescent="0.3">
      <c r="A147" s="273"/>
      <c r="B147" s="273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11"/>
      <c r="N147" s="211"/>
      <c r="O147" s="211"/>
    </row>
    <row r="148" spans="1:15" s="208" customFormat="1" ht="20.100000000000001" customHeight="1" x14ac:dyDescent="0.25">
      <c r="A148" s="273"/>
      <c r="B148" s="626" t="s">
        <v>136</v>
      </c>
      <c r="C148" s="627"/>
      <c r="D148" s="627"/>
      <c r="E148" s="627"/>
      <c r="F148" s="627"/>
      <c r="G148" s="627"/>
      <c r="H148" s="627"/>
      <c r="I148" s="627"/>
      <c r="J148" s="627"/>
      <c r="K148" s="627"/>
      <c r="L148" s="628"/>
      <c r="M148" s="211"/>
      <c r="N148" s="211"/>
      <c r="O148" s="211"/>
    </row>
    <row r="149" spans="1:15" s="208" customFormat="1" ht="20.100000000000001" customHeight="1" thickBot="1" x14ac:dyDescent="0.3">
      <c r="A149" s="273"/>
      <c r="B149" s="629"/>
      <c r="C149" s="630"/>
      <c r="D149" s="630"/>
      <c r="E149" s="630"/>
      <c r="F149" s="630"/>
      <c r="G149" s="630"/>
      <c r="H149" s="630"/>
      <c r="I149" s="630"/>
      <c r="J149" s="630"/>
      <c r="K149" s="630"/>
      <c r="L149" s="631"/>
      <c r="M149" s="211"/>
      <c r="N149" s="211"/>
      <c r="O149" s="211"/>
    </row>
    <row r="150" spans="1:15" s="208" customFormat="1" ht="20.100000000000001" customHeight="1" x14ac:dyDescent="0.25">
      <c r="A150" s="273"/>
      <c r="B150" s="634" t="s">
        <v>29</v>
      </c>
      <c r="C150" s="154" t="s">
        <v>97</v>
      </c>
      <c r="D150" s="636" t="s">
        <v>101</v>
      </c>
      <c r="E150" s="636"/>
      <c r="F150" s="637"/>
      <c r="G150" s="274" t="s">
        <v>112</v>
      </c>
      <c r="H150" s="154" t="s">
        <v>98</v>
      </c>
      <c r="I150" s="154" t="s">
        <v>96</v>
      </c>
      <c r="J150" s="634" t="s">
        <v>113</v>
      </c>
      <c r="K150" s="634" t="s">
        <v>114</v>
      </c>
      <c r="L150" s="638" t="s">
        <v>115</v>
      </c>
      <c r="M150" s="211"/>
      <c r="N150" s="211"/>
      <c r="O150" s="211"/>
    </row>
    <row r="151" spans="1:15" s="208" customFormat="1" ht="20.100000000000001" customHeight="1" thickBot="1" x14ac:dyDescent="0.3">
      <c r="A151" s="273"/>
      <c r="B151" s="635"/>
      <c r="C151" s="155" t="s">
        <v>104</v>
      </c>
      <c r="D151" s="157" t="s">
        <v>107</v>
      </c>
      <c r="E151" s="157" t="s">
        <v>107</v>
      </c>
      <c r="F151" s="156" t="s">
        <v>104</v>
      </c>
      <c r="G151" s="187" t="s">
        <v>106</v>
      </c>
      <c r="H151" s="155" t="s">
        <v>105</v>
      </c>
      <c r="I151" s="155" t="s">
        <v>104</v>
      </c>
      <c r="J151" s="635"/>
      <c r="K151" s="635"/>
      <c r="L151" s="639"/>
      <c r="M151" s="211"/>
      <c r="N151" s="211"/>
      <c r="O151" s="211"/>
    </row>
    <row r="152" spans="1:15" s="208" customFormat="1" ht="20.100000000000001" customHeight="1" x14ac:dyDescent="0.25">
      <c r="A152" s="273"/>
      <c r="B152" s="158" t="s">
        <v>144</v>
      </c>
      <c r="C152" s="169">
        <f>C140</f>
        <v>23.626799999999999</v>
      </c>
      <c r="D152" s="159">
        <f>D140</f>
        <v>2</v>
      </c>
      <c r="E152" s="160">
        <f>E140</f>
        <v>2</v>
      </c>
      <c r="F152" s="188">
        <f>F140</f>
        <v>5.57E-2</v>
      </c>
      <c r="G152" s="200">
        <f>ABS(L140)</f>
        <v>7.1361268541842887E-7</v>
      </c>
      <c r="H152" s="201">
        <f>ABS((G152)/(0.2785*150*(F152^2.63)))^(1/0.54)</f>
        <v>5.2963394796571445E-9</v>
      </c>
      <c r="I152" s="189">
        <f>H152*C152</f>
        <v>1.2513555361796343E-7</v>
      </c>
      <c r="J152" s="200">
        <f>I152/G152</f>
        <v>0.17535500163452089</v>
      </c>
      <c r="K152" s="202">
        <f>(-I158)/(1.85*J158)</f>
        <v>-5.3929730460696065E-7</v>
      </c>
      <c r="L152" s="200">
        <f>G152+$K$152</f>
        <v>1.7431538081146822E-7</v>
      </c>
      <c r="M152" s="211"/>
      <c r="N152" s="211"/>
      <c r="O152" s="211"/>
    </row>
    <row r="153" spans="1:15" s="208" customFormat="1" ht="20.100000000000001" customHeight="1" x14ac:dyDescent="0.25">
      <c r="A153" s="273"/>
      <c r="B153" s="161" t="s">
        <v>40</v>
      </c>
      <c r="C153" s="170">
        <f t="shared" ref="C153:F153" si="110">C141</f>
        <v>828.37099999999998</v>
      </c>
      <c r="D153" s="164">
        <f t="shared" si="110"/>
        <v>1</v>
      </c>
      <c r="E153" s="163">
        <f t="shared" si="110"/>
        <v>2</v>
      </c>
      <c r="F153" s="191">
        <f t="shared" si="110"/>
        <v>5.57E-2</v>
      </c>
      <c r="G153" s="193">
        <f t="shared" ref="G153:G157" si="111">ABS(L141)</f>
        <v>4.4187321638148341E-7</v>
      </c>
      <c r="H153" s="203">
        <f t="shared" ref="H153:H157" si="112">ABS((G153)/(0.2785*150*(F153^2.63)))^(1/0.54)</f>
        <v>2.1801445489024435E-9</v>
      </c>
      <c r="I153" s="192">
        <f t="shared" ref="I153:I157" si="113">H153*C153</f>
        <v>1.8059685201188659E-6</v>
      </c>
      <c r="J153" s="193">
        <f t="shared" ref="J153:J157" si="114">I153/G153</f>
        <v>4.0870739686555586</v>
      </c>
      <c r="K153" s="192"/>
      <c r="L153" s="193">
        <f t="shared" ref="L153:L157" si="115">G153+$K$152</f>
        <v>-9.7424088225477247E-8</v>
      </c>
      <c r="M153" s="211"/>
      <c r="N153" s="211"/>
      <c r="O153" s="211"/>
    </row>
    <row r="154" spans="1:15" s="208" customFormat="1" ht="20.100000000000001" customHeight="1" x14ac:dyDescent="0.25">
      <c r="A154" s="273"/>
      <c r="B154" s="161" t="s">
        <v>145</v>
      </c>
      <c r="C154" s="170">
        <f t="shared" ref="C154:F154" si="116">C142</f>
        <v>6.3987999999999996</v>
      </c>
      <c r="D154" s="164">
        <f t="shared" si="116"/>
        <v>1</v>
      </c>
      <c r="E154" s="163">
        <f t="shared" si="116"/>
        <v>2</v>
      </c>
      <c r="F154" s="191">
        <f t="shared" si="116"/>
        <v>5.57E-2</v>
      </c>
      <c r="G154" s="193">
        <f t="shared" si="111"/>
        <v>7.3797005682985075E-7</v>
      </c>
      <c r="H154" s="203">
        <f t="shared" si="112"/>
        <v>5.6359708536911841E-9</v>
      </c>
      <c r="I154" s="192">
        <f t="shared" si="113"/>
        <v>3.6063450298599146E-8</v>
      </c>
      <c r="J154" s="193">
        <f t="shared" si="114"/>
        <v>4.8868446578333294E-2</v>
      </c>
      <c r="K154" s="192"/>
      <c r="L154" s="193">
        <f t="shared" si="115"/>
        <v>1.986727522228901E-7</v>
      </c>
      <c r="M154" s="211"/>
      <c r="N154" s="211"/>
      <c r="O154" s="211"/>
    </row>
    <row r="155" spans="1:15" s="208" customFormat="1" ht="20.100000000000001" customHeight="1" x14ac:dyDescent="0.25">
      <c r="A155" s="273"/>
      <c r="B155" s="161" t="s">
        <v>146</v>
      </c>
      <c r="C155" s="170">
        <f t="shared" ref="C155:F155" si="117">C143</f>
        <v>212.8605</v>
      </c>
      <c r="D155" s="164">
        <f t="shared" si="117"/>
        <v>1</v>
      </c>
      <c r="E155" s="163">
        <f t="shared" si="117"/>
        <v>2</v>
      </c>
      <c r="F155" s="191">
        <f t="shared" si="117"/>
        <v>5.57E-2</v>
      </c>
      <c r="G155" s="193">
        <f t="shared" si="111"/>
        <v>3.0222720760556445E-7</v>
      </c>
      <c r="H155" s="203">
        <f t="shared" si="112"/>
        <v>1.0789372295906733E-9</v>
      </c>
      <c r="I155" s="192">
        <f t="shared" si="113"/>
        <v>2.2966311815928551E-7</v>
      </c>
      <c r="J155" s="193">
        <f t="shared" si="114"/>
        <v>0.75990219404408466</v>
      </c>
      <c r="K155" s="192"/>
      <c r="L155" s="193">
        <f t="shared" si="115"/>
        <v>-2.370700970013962E-7</v>
      </c>
      <c r="M155" s="211"/>
      <c r="N155" s="211"/>
      <c r="O155" s="211"/>
    </row>
    <row r="156" spans="1:15" s="208" customFormat="1" ht="20.100000000000001" customHeight="1" x14ac:dyDescent="0.25">
      <c r="A156" s="273"/>
      <c r="B156" s="161" t="s">
        <v>147</v>
      </c>
      <c r="C156" s="170">
        <f t="shared" ref="C156:F156" si="118">C144</f>
        <v>349.82990000000001</v>
      </c>
      <c r="D156" s="164">
        <f t="shared" si="118"/>
        <v>1</v>
      </c>
      <c r="E156" s="163">
        <f t="shared" si="118"/>
        <v>2</v>
      </c>
      <c r="F156" s="191">
        <f t="shared" si="118"/>
        <v>5.57E-2</v>
      </c>
      <c r="G156" s="193">
        <f t="shared" si="111"/>
        <v>4.9182674393845398E-7</v>
      </c>
      <c r="H156" s="203">
        <f t="shared" si="112"/>
        <v>2.6584174729721796E-9</v>
      </c>
      <c r="I156" s="192">
        <f t="shared" si="113"/>
        <v>9.2999391872811032E-7</v>
      </c>
      <c r="J156" s="193">
        <f t="shared" si="114"/>
        <v>1.8908974149736102</v>
      </c>
      <c r="K156" s="192"/>
      <c r="L156" s="193">
        <f t="shared" si="115"/>
        <v>-4.7470560668506679E-8</v>
      </c>
      <c r="M156" s="211"/>
      <c r="N156" s="211"/>
      <c r="O156" s="211"/>
    </row>
    <row r="157" spans="1:15" s="208" customFormat="1" ht="20.100000000000001" customHeight="1" thickBot="1" x14ac:dyDescent="0.3">
      <c r="A157" s="273"/>
      <c r="B157" s="171" t="s">
        <v>148</v>
      </c>
      <c r="C157" s="194">
        <f t="shared" ref="C157:F157" si="119">C145</f>
        <v>401.94900000000001</v>
      </c>
      <c r="D157" s="174">
        <f t="shared" si="119"/>
        <v>1</v>
      </c>
      <c r="E157" s="165">
        <f t="shared" si="119"/>
        <v>2</v>
      </c>
      <c r="F157" s="195">
        <f t="shared" si="119"/>
        <v>5.57E-2</v>
      </c>
      <c r="G157" s="197">
        <f t="shared" si="111"/>
        <v>1.6308663507646074E-6</v>
      </c>
      <c r="H157" s="204">
        <f t="shared" si="112"/>
        <v>2.4474216459297905E-8</v>
      </c>
      <c r="I157" s="196">
        <f t="shared" si="113"/>
        <v>9.8373868315983333E-6</v>
      </c>
      <c r="J157" s="197">
        <f t="shared" si="114"/>
        <v>6.0320006154926311</v>
      </c>
      <c r="K157" s="196"/>
      <c r="L157" s="197">
        <f t="shared" si="115"/>
        <v>1.0915690461576468E-6</v>
      </c>
      <c r="M157" s="211"/>
      <c r="N157" s="211"/>
      <c r="O157" s="211"/>
    </row>
    <row r="158" spans="1:15" s="208" customFormat="1" ht="45" customHeight="1" thickBot="1" x14ac:dyDescent="0.3">
      <c r="A158" s="273"/>
      <c r="B158" s="651" t="s">
        <v>55</v>
      </c>
      <c r="C158" s="624"/>
      <c r="D158" s="624"/>
      <c r="E158" s="624"/>
      <c r="F158" s="624"/>
      <c r="G158" s="624"/>
      <c r="H158" s="652"/>
      <c r="I158" s="212">
        <f>SUM(I152:I157)</f>
        <v>1.2964211392521157E-5</v>
      </c>
      <c r="J158" s="212">
        <f>SUM(J152:J157)</f>
        <v>12.994097641378739</v>
      </c>
      <c r="K158" s="198"/>
      <c r="L158" s="272"/>
      <c r="M158" s="211"/>
      <c r="N158" s="211"/>
      <c r="O158" s="211"/>
    </row>
    <row r="159" spans="1:15" s="208" customFormat="1" ht="30" customHeight="1" thickBot="1" x14ac:dyDescent="0.3">
      <c r="A159" s="273"/>
      <c r="B159" s="273"/>
      <c r="C159" s="273"/>
      <c r="D159" s="273"/>
      <c r="E159" s="273"/>
      <c r="F159" s="273"/>
      <c r="G159" s="273"/>
      <c r="H159" s="273"/>
      <c r="I159" s="273"/>
      <c r="J159" s="273"/>
      <c r="K159" s="273"/>
      <c r="L159" s="273"/>
      <c r="M159" s="211"/>
      <c r="N159" s="211"/>
      <c r="O159" s="211"/>
    </row>
    <row r="160" spans="1:15" s="208" customFormat="1" ht="20.100000000000001" customHeight="1" x14ac:dyDescent="0.25">
      <c r="A160" s="273"/>
      <c r="B160" s="626" t="s">
        <v>136</v>
      </c>
      <c r="C160" s="627"/>
      <c r="D160" s="627"/>
      <c r="E160" s="627"/>
      <c r="F160" s="627"/>
      <c r="G160" s="627"/>
      <c r="H160" s="627"/>
      <c r="I160" s="627"/>
      <c r="J160" s="627"/>
      <c r="K160" s="627"/>
      <c r="L160" s="628"/>
      <c r="M160" s="211"/>
      <c r="N160" s="211"/>
      <c r="O160" s="211"/>
    </row>
    <row r="161" spans="1:15" s="208" customFormat="1" ht="20.100000000000001" customHeight="1" thickBot="1" x14ac:dyDescent="0.3">
      <c r="A161" s="273"/>
      <c r="B161" s="629"/>
      <c r="C161" s="630"/>
      <c r="D161" s="630"/>
      <c r="E161" s="630"/>
      <c r="F161" s="630"/>
      <c r="G161" s="630"/>
      <c r="H161" s="630"/>
      <c r="I161" s="630"/>
      <c r="J161" s="630"/>
      <c r="K161" s="630"/>
      <c r="L161" s="631"/>
      <c r="M161" s="211"/>
      <c r="N161" s="211"/>
      <c r="O161" s="211"/>
    </row>
    <row r="162" spans="1:15" s="208" customFormat="1" ht="20.100000000000001" customHeight="1" x14ac:dyDescent="0.25">
      <c r="A162" s="273"/>
      <c r="B162" s="634" t="s">
        <v>29</v>
      </c>
      <c r="C162" s="154" t="s">
        <v>97</v>
      </c>
      <c r="D162" s="636" t="s">
        <v>101</v>
      </c>
      <c r="E162" s="636"/>
      <c r="F162" s="637"/>
      <c r="G162" s="274" t="s">
        <v>112</v>
      </c>
      <c r="H162" s="154" t="s">
        <v>98</v>
      </c>
      <c r="I162" s="154" t="s">
        <v>96</v>
      </c>
      <c r="J162" s="634" t="s">
        <v>113</v>
      </c>
      <c r="K162" s="634" t="s">
        <v>114</v>
      </c>
      <c r="L162" s="638" t="s">
        <v>115</v>
      </c>
      <c r="M162" s="211"/>
      <c r="N162" s="211"/>
      <c r="O162" s="211"/>
    </row>
    <row r="163" spans="1:15" s="208" customFormat="1" ht="20.100000000000001" customHeight="1" thickBot="1" x14ac:dyDescent="0.3">
      <c r="A163" s="273"/>
      <c r="B163" s="635"/>
      <c r="C163" s="155" t="s">
        <v>104</v>
      </c>
      <c r="D163" s="157" t="s">
        <v>107</v>
      </c>
      <c r="E163" s="157" t="s">
        <v>107</v>
      </c>
      <c r="F163" s="156" t="s">
        <v>104</v>
      </c>
      <c r="G163" s="187" t="s">
        <v>106</v>
      </c>
      <c r="H163" s="155" t="s">
        <v>105</v>
      </c>
      <c r="I163" s="155" t="s">
        <v>104</v>
      </c>
      <c r="J163" s="635"/>
      <c r="K163" s="635"/>
      <c r="L163" s="639"/>
      <c r="M163" s="211"/>
      <c r="N163" s="211"/>
      <c r="O163" s="211"/>
    </row>
    <row r="164" spans="1:15" s="208" customFormat="1" ht="20.100000000000001" customHeight="1" x14ac:dyDescent="0.25">
      <c r="A164" s="273"/>
      <c r="B164" s="158" t="s">
        <v>144</v>
      </c>
      <c r="C164" s="169">
        <f>C152</f>
        <v>23.626799999999999</v>
      </c>
      <c r="D164" s="159">
        <f>D152</f>
        <v>2</v>
      </c>
      <c r="E164" s="160">
        <f>E152</f>
        <v>2</v>
      </c>
      <c r="F164" s="188">
        <f>F152</f>
        <v>5.57E-2</v>
      </c>
      <c r="G164" s="200">
        <f>ABS(L152)</f>
        <v>1.7431538081146822E-7</v>
      </c>
      <c r="H164" s="201">
        <f>ABS((G164)/(0.2785*150*(F164^2.63)))^(1/0.54)</f>
        <v>3.8941042036291522E-10</v>
      </c>
      <c r="I164" s="189">
        <f>H164*C164</f>
        <v>9.2005221198305243E-9</v>
      </c>
      <c r="J164" s="200">
        <f>I164/G164</f>
        <v>5.2780896768836488E-2</v>
      </c>
      <c r="K164" s="205">
        <f>(-I170)/(1.85*J170)</f>
        <v>-4.2159819682261588E-7</v>
      </c>
      <c r="L164" s="200">
        <f>G164+$K$164</f>
        <v>-2.4728281601114767E-7</v>
      </c>
      <c r="M164" s="211"/>
      <c r="N164" s="211"/>
      <c r="O164" s="211"/>
    </row>
    <row r="165" spans="1:15" s="208" customFormat="1" ht="20.100000000000001" customHeight="1" x14ac:dyDescent="0.25">
      <c r="A165" s="273"/>
      <c r="B165" s="161" t="s">
        <v>40</v>
      </c>
      <c r="C165" s="170">
        <f t="shared" ref="C165:F165" si="120">C153</f>
        <v>828.37099999999998</v>
      </c>
      <c r="D165" s="164">
        <f t="shared" si="120"/>
        <v>1</v>
      </c>
      <c r="E165" s="163">
        <f t="shared" si="120"/>
        <v>2</v>
      </c>
      <c r="F165" s="191">
        <f t="shared" si="120"/>
        <v>5.57E-2</v>
      </c>
      <c r="G165" s="193">
        <f t="shared" ref="G165:G169" si="121">ABS(L153)</f>
        <v>9.7424088225477247E-8</v>
      </c>
      <c r="H165" s="203">
        <f t="shared" ref="H165:H169" si="122">ABS((G165)/(0.2785*150*(F165^2.63)))^(1/0.54)</f>
        <v>1.3258712342784545E-10</v>
      </c>
      <c r="I165" s="192">
        <f t="shared" ref="I165:I169" si="123">H165*C165</f>
        <v>1.0983132802104776E-7</v>
      </c>
      <c r="J165" s="193">
        <f t="shared" ref="J165:J169" si="124">I165/G165</f>
        <v>1.1273528962042256</v>
      </c>
      <c r="K165" s="192"/>
      <c r="L165" s="193">
        <f t="shared" ref="L165:L169" si="125">G165+$K$164</f>
        <v>-3.2417410859713864E-7</v>
      </c>
      <c r="M165" s="210"/>
      <c r="N165" s="210"/>
      <c r="O165" s="210"/>
    </row>
    <row r="166" spans="1:15" s="208" customFormat="1" ht="20.100000000000001" customHeight="1" x14ac:dyDescent="0.25">
      <c r="A166" s="273"/>
      <c r="B166" s="161" t="s">
        <v>145</v>
      </c>
      <c r="C166" s="170">
        <f t="shared" ref="C166:F166" si="126">C154</f>
        <v>6.3987999999999996</v>
      </c>
      <c r="D166" s="164">
        <f t="shared" si="126"/>
        <v>1</v>
      </c>
      <c r="E166" s="163">
        <f t="shared" si="126"/>
        <v>2</v>
      </c>
      <c r="F166" s="191">
        <f t="shared" si="126"/>
        <v>5.57E-2</v>
      </c>
      <c r="G166" s="193">
        <f t="shared" si="121"/>
        <v>1.986727522228901E-7</v>
      </c>
      <c r="H166" s="203">
        <f t="shared" si="122"/>
        <v>4.9613237429961724E-10</v>
      </c>
      <c r="I166" s="192">
        <f t="shared" si="123"/>
        <v>3.1746518366683906E-9</v>
      </c>
      <c r="J166" s="193">
        <f t="shared" si="124"/>
        <v>1.5979301646290994E-2</v>
      </c>
      <c r="K166" s="192"/>
      <c r="L166" s="193">
        <f t="shared" si="125"/>
        <v>-2.2292544459972579E-7</v>
      </c>
      <c r="M166" s="211"/>
      <c r="N166" s="211"/>
      <c r="O166" s="211"/>
    </row>
    <row r="167" spans="1:15" s="208" customFormat="1" ht="20.100000000000001" customHeight="1" x14ac:dyDescent="0.25">
      <c r="A167" s="273"/>
      <c r="B167" s="161" t="s">
        <v>146</v>
      </c>
      <c r="C167" s="170">
        <f t="shared" ref="C167:F167" si="127">C155</f>
        <v>212.8605</v>
      </c>
      <c r="D167" s="164">
        <f t="shared" si="127"/>
        <v>1</v>
      </c>
      <c r="E167" s="163">
        <f t="shared" si="127"/>
        <v>2</v>
      </c>
      <c r="F167" s="191">
        <f t="shared" si="127"/>
        <v>5.57E-2</v>
      </c>
      <c r="G167" s="193">
        <f t="shared" si="121"/>
        <v>2.370700970013962E-7</v>
      </c>
      <c r="H167" s="203">
        <f t="shared" si="122"/>
        <v>6.8818601615859291E-10</v>
      </c>
      <c r="I167" s="192">
        <f t="shared" si="123"/>
        <v>1.4648761949252616E-7</v>
      </c>
      <c r="J167" s="193">
        <f t="shared" si="124"/>
        <v>0.61790846397495436</v>
      </c>
      <c r="K167" s="192"/>
      <c r="L167" s="193">
        <f t="shared" si="125"/>
        <v>-1.8452809982121968E-7</v>
      </c>
      <c r="M167" s="211"/>
      <c r="N167" s="211"/>
      <c r="O167" s="211"/>
    </row>
    <row r="168" spans="1:15" s="208" customFormat="1" ht="20.100000000000001" customHeight="1" x14ac:dyDescent="0.25">
      <c r="A168" s="273"/>
      <c r="B168" s="161" t="s">
        <v>147</v>
      </c>
      <c r="C168" s="170">
        <f t="shared" ref="C168:F168" si="128">C156</f>
        <v>349.82990000000001</v>
      </c>
      <c r="D168" s="164">
        <f t="shared" si="128"/>
        <v>1</v>
      </c>
      <c r="E168" s="163">
        <f t="shared" si="128"/>
        <v>2</v>
      </c>
      <c r="F168" s="191">
        <f t="shared" si="128"/>
        <v>5.57E-2</v>
      </c>
      <c r="G168" s="193">
        <f t="shared" si="121"/>
        <v>4.7470560668506679E-8</v>
      </c>
      <c r="H168" s="203">
        <f t="shared" si="122"/>
        <v>3.5016718355607774E-11</v>
      </c>
      <c r="I168" s="192">
        <f t="shared" si="123"/>
        <v>1.2249895080670432E-8</v>
      </c>
      <c r="J168" s="193">
        <f t="shared" si="124"/>
        <v>0.25805246258229603</v>
      </c>
      <c r="K168" s="192"/>
      <c r="L168" s="193">
        <f t="shared" si="125"/>
        <v>-3.741276361541092E-7</v>
      </c>
      <c r="M168" s="211"/>
      <c r="N168" s="211"/>
      <c r="O168" s="211"/>
    </row>
    <row r="169" spans="1:15" s="208" customFormat="1" ht="20.100000000000001" customHeight="1" thickBot="1" x14ac:dyDescent="0.3">
      <c r="A169" s="273"/>
      <c r="B169" s="171" t="s">
        <v>148</v>
      </c>
      <c r="C169" s="194">
        <f t="shared" ref="C169:F169" si="129">C157</f>
        <v>401.94900000000001</v>
      </c>
      <c r="D169" s="174">
        <f t="shared" si="129"/>
        <v>1</v>
      </c>
      <c r="E169" s="165">
        <f t="shared" si="129"/>
        <v>2</v>
      </c>
      <c r="F169" s="195">
        <f t="shared" si="129"/>
        <v>5.57E-2</v>
      </c>
      <c r="G169" s="197">
        <f t="shared" si="121"/>
        <v>1.0915690461576468E-6</v>
      </c>
      <c r="H169" s="204">
        <f t="shared" si="122"/>
        <v>1.1636078648974491E-8</v>
      </c>
      <c r="I169" s="196">
        <f t="shared" si="123"/>
        <v>4.6771101768766479E-6</v>
      </c>
      <c r="J169" s="197">
        <f t="shared" si="124"/>
        <v>4.2847588921105864</v>
      </c>
      <c r="K169" s="196"/>
      <c r="L169" s="197">
        <f t="shared" si="125"/>
        <v>6.6997084933503093E-7</v>
      </c>
      <c r="M169" s="211"/>
      <c r="N169" s="211"/>
      <c r="O169" s="211"/>
    </row>
    <row r="170" spans="1:15" s="208" customFormat="1" ht="45" customHeight="1" thickBot="1" x14ac:dyDescent="0.3">
      <c r="A170" s="273"/>
      <c r="B170" s="651" t="s">
        <v>55</v>
      </c>
      <c r="C170" s="624"/>
      <c r="D170" s="624"/>
      <c r="E170" s="624"/>
      <c r="F170" s="624"/>
      <c r="G170" s="624"/>
      <c r="H170" s="652"/>
      <c r="I170" s="212">
        <f>SUM(I164:I169)</f>
        <v>4.958054193427391E-6</v>
      </c>
      <c r="J170" s="212">
        <f>SUM(J164:J169)</f>
        <v>6.3568329132871906</v>
      </c>
      <c r="K170" s="198"/>
      <c r="L170" s="272"/>
      <c r="M170" s="211"/>
      <c r="N170" s="211"/>
      <c r="O170" s="211"/>
    </row>
    <row r="171" spans="1:15" s="208" customFormat="1" ht="20.100000000000001" customHeight="1" x14ac:dyDescent="0.25">
      <c r="A171" s="271"/>
      <c r="B171" s="222"/>
      <c r="C171" s="198"/>
      <c r="D171" s="198"/>
      <c r="E171" s="223"/>
      <c r="F171" s="33"/>
      <c r="G171" s="300"/>
      <c r="H171" s="300"/>
      <c r="I171" s="300"/>
      <c r="J171" s="300"/>
      <c r="K171" s="300"/>
      <c r="L171" s="300"/>
      <c r="M171" s="211"/>
      <c r="N171" s="211"/>
      <c r="O171" s="211"/>
    </row>
    <row r="172" spans="1:15" s="208" customFormat="1" ht="20.100000000000001" customHeight="1" x14ac:dyDescent="0.25">
      <c r="A172" s="271"/>
      <c r="B172" s="222"/>
      <c r="C172" s="198"/>
      <c r="D172" s="198"/>
      <c r="E172" s="223"/>
      <c r="F172" s="33"/>
      <c r="G172" s="300"/>
      <c r="H172" s="300"/>
      <c r="I172" s="300"/>
      <c r="J172" s="300"/>
      <c r="K172" s="300"/>
      <c r="L172" s="300"/>
      <c r="M172" s="211"/>
      <c r="N172" s="211"/>
      <c r="O172" s="211"/>
    </row>
    <row r="173" spans="1:15" s="208" customFormat="1" ht="20.100000000000001" customHeight="1" x14ac:dyDescent="0.25">
      <c r="A173" s="271"/>
      <c r="B173" s="222"/>
      <c r="C173" s="198"/>
      <c r="D173" s="198"/>
      <c r="E173" s="223"/>
      <c r="F173" s="33"/>
      <c r="G173" s="300"/>
      <c r="H173" s="300"/>
      <c r="I173" s="300"/>
      <c r="J173" s="300"/>
      <c r="K173" s="300"/>
      <c r="L173" s="300"/>
      <c r="M173" s="211"/>
      <c r="N173" s="211"/>
      <c r="O173" s="211"/>
    </row>
    <row r="174" spans="1:15" s="208" customFormat="1" ht="20.100000000000001" customHeight="1" x14ac:dyDescent="0.25">
      <c r="A174" s="271"/>
      <c r="B174" s="222"/>
      <c r="C174" s="198"/>
      <c r="D174" s="198"/>
      <c r="E174" s="223"/>
      <c r="F174" s="33"/>
      <c r="G174" s="300"/>
      <c r="H174" s="300"/>
      <c r="I174" s="300"/>
      <c r="J174" s="300"/>
      <c r="K174" s="300"/>
      <c r="L174" s="300"/>
      <c r="M174" s="211"/>
      <c r="N174" s="211"/>
      <c r="O174" s="211"/>
    </row>
    <row r="175" spans="1:15" s="208" customFormat="1" ht="20.100000000000001" customHeight="1" x14ac:dyDescent="0.25">
      <c r="A175" s="271"/>
      <c r="B175" s="222"/>
      <c r="C175" s="198"/>
      <c r="D175" s="198"/>
      <c r="E175" s="223"/>
      <c r="F175" s="33"/>
      <c r="G175" s="300"/>
      <c r="H175" s="300"/>
      <c r="I175" s="300"/>
      <c r="J175" s="300"/>
      <c r="K175" s="300"/>
      <c r="L175" s="300"/>
      <c r="M175" s="211"/>
      <c r="N175" s="211"/>
      <c r="O175" s="211"/>
    </row>
    <row r="176" spans="1:15" s="208" customFormat="1" ht="20.100000000000001" customHeight="1" x14ac:dyDescent="0.25">
      <c r="A176" s="271"/>
      <c r="B176" s="222"/>
      <c r="C176" s="198"/>
      <c r="D176" s="198"/>
      <c r="E176" s="223"/>
      <c r="F176" s="33"/>
      <c r="G176" s="300"/>
      <c r="H176" s="300"/>
      <c r="I176" s="300"/>
      <c r="J176" s="300"/>
      <c r="K176" s="300"/>
      <c r="L176" s="300"/>
      <c r="M176" s="211"/>
      <c r="N176" s="211"/>
      <c r="O176" s="211"/>
    </row>
    <row r="177" spans="1:15" s="208" customFormat="1" ht="20.100000000000001" customHeight="1" x14ac:dyDescent="0.25">
      <c r="A177" s="271"/>
      <c r="B177" s="222"/>
      <c r="C177" s="198"/>
      <c r="D177" s="198"/>
      <c r="E177" s="223"/>
      <c r="F177" s="33"/>
      <c r="G177" s="300"/>
      <c r="H177" s="300"/>
      <c r="I177" s="300"/>
      <c r="J177" s="300"/>
      <c r="K177" s="300"/>
      <c r="L177" s="300"/>
      <c r="M177" s="211"/>
      <c r="N177" s="211"/>
      <c r="O177" s="211"/>
    </row>
    <row r="178" spans="1:15" s="208" customFormat="1" ht="20.100000000000001" customHeight="1" x14ac:dyDescent="0.25">
      <c r="A178" s="271"/>
      <c r="B178" s="222"/>
      <c r="C178" s="198"/>
      <c r="D178" s="198"/>
      <c r="E178" s="223"/>
      <c r="F178" s="33"/>
      <c r="G178" s="300"/>
      <c r="H178" s="300"/>
      <c r="I178" s="300"/>
      <c r="J178" s="300"/>
      <c r="K178" s="300"/>
      <c r="L178" s="300"/>
      <c r="M178" s="211"/>
      <c r="N178" s="211"/>
      <c r="O178" s="211"/>
    </row>
    <row r="179" spans="1:15" s="208" customFormat="1" ht="20.100000000000001" customHeight="1" x14ac:dyDescent="0.25">
      <c r="A179" s="271"/>
      <c r="B179" s="222"/>
      <c r="C179" s="198"/>
      <c r="D179" s="198"/>
      <c r="E179" s="223"/>
      <c r="F179" s="33"/>
      <c r="G179" s="300"/>
      <c r="H179" s="300"/>
      <c r="I179" s="300"/>
      <c r="J179" s="300"/>
      <c r="K179" s="300"/>
      <c r="L179" s="300"/>
      <c r="M179" s="211"/>
      <c r="N179" s="211"/>
      <c r="O179" s="211"/>
    </row>
    <row r="180" spans="1:15" s="208" customFormat="1" ht="20.100000000000001" customHeight="1" x14ac:dyDescent="0.25">
      <c r="A180" s="271"/>
      <c r="B180" s="222"/>
      <c r="C180" s="198"/>
      <c r="D180" s="198"/>
      <c r="E180" s="223"/>
      <c r="F180" s="33"/>
      <c r="G180" s="300"/>
      <c r="H180" s="300"/>
      <c r="I180" s="300"/>
      <c r="J180" s="300"/>
      <c r="K180" s="300"/>
      <c r="L180" s="300"/>
      <c r="M180" s="211"/>
      <c r="N180" s="211"/>
      <c r="O180" s="211"/>
    </row>
    <row r="181" spans="1:15" s="208" customFormat="1" ht="20.100000000000001" customHeight="1" x14ac:dyDescent="0.25">
      <c r="A181" s="271"/>
      <c r="B181" s="222"/>
      <c r="C181" s="198"/>
      <c r="D181" s="198"/>
      <c r="E181" s="223"/>
      <c r="F181" s="33"/>
      <c r="G181" s="300"/>
      <c r="H181" s="300"/>
      <c r="I181" s="300"/>
      <c r="J181" s="300"/>
      <c r="K181" s="300"/>
      <c r="L181" s="300"/>
      <c r="M181" s="211"/>
      <c r="N181" s="211"/>
      <c r="O181" s="211"/>
    </row>
    <row r="182" spans="1:15" s="208" customFormat="1" ht="45" customHeight="1" x14ac:dyDescent="0.25">
      <c r="A182" s="271"/>
      <c r="B182" s="640"/>
      <c r="C182" s="640"/>
      <c r="D182" s="640"/>
      <c r="E182" s="640"/>
      <c r="F182" s="640"/>
      <c r="G182" s="640"/>
      <c r="H182" s="640"/>
      <c r="I182" s="33"/>
      <c r="J182" s="33"/>
      <c r="K182" s="198"/>
      <c r="L182" s="272"/>
      <c r="M182" s="211"/>
      <c r="N182" s="211"/>
      <c r="O182" s="211"/>
    </row>
    <row r="183" spans="1:15" s="208" customFormat="1" ht="30" customHeight="1" x14ac:dyDescent="0.25">
      <c r="A183" s="271"/>
      <c r="B183" s="271"/>
      <c r="C183" s="271"/>
      <c r="D183" s="271"/>
      <c r="E183" s="271"/>
      <c r="F183" s="271"/>
      <c r="G183" s="271"/>
      <c r="H183" s="271"/>
      <c r="I183" s="271"/>
      <c r="J183" s="271"/>
      <c r="K183" s="271"/>
      <c r="L183" s="271"/>
      <c r="M183" s="211"/>
      <c r="N183" s="211"/>
      <c r="O183" s="211"/>
    </row>
    <row r="184" spans="1:15" s="208" customFormat="1" ht="20.100000000000001" customHeight="1" x14ac:dyDescent="0.25">
      <c r="A184" s="271"/>
      <c r="B184" s="555"/>
      <c r="C184" s="555"/>
      <c r="D184" s="555"/>
      <c r="E184" s="555"/>
      <c r="F184" s="555"/>
      <c r="G184" s="555"/>
      <c r="H184" s="555"/>
      <c r="I184" s="555"/>
      <c r="J184" s="555"/>
      <c r="K184" s="555"/>
      <c r="L184" s="555"/>
      <c r="M184" s="211"/>
      <c r="N184" s="211"/>
      <c r="O184" s="211"/>
    </row>
    <row r="185" spans="1:15" s="208" customFormat="1" ht="20.100000000000001" customHeight="1" x14ac:dyDescent="0.25">
      <c r="A185" s="271"/>
      <c r="B185" s="555"/>
      <c r="C185" s="555"/>
      <c r="D185" s="555"/>
      <c r="E185" s="555"/>
      <c r="F185" s="555"/>
      <c r="G185" s="555"/>
      <c r="H185" s="555"/>
      <c r="I185" s="555"/>
      <c r="J185" s="555"/>
      <c r="K185" s="555"/>
      <c r="L185" s="555"/>
      <c r="M185" s="211"/>
      <c r="N185" s="211"/>
      <c r="O185" s="211"/>
    </row>
    <row r="186" spans="1:15" s="208" customFormat="1" ht="20.100000000000001" customHeight="1" x14ac:dyDescent="0.25">
      <c r="A186" s="271"/>
      <c r="B186" s="537"/>
      <c r="C186" s="271"/>
      <c r="D186" s="537"/>
      <c r="E186" s="537"/>
      <c r="F186" s="537"/>
      <c r="G186" s="271"/>
      <c r="H186" s="271"/>
      <c r="I186" s="271"/>
      <c r="J186" s="537"/>
      <c r="K186" s="537"/>
      <c r="L186" s="533"/>
      <c r="M186" s="211"/>
      <c r="N186" s="211"/>
      <c r="O186" s="211"/>
    </row>
    <row r="187" spans="1:15" s="208" customFormat="1" ht="20.100000000000001" customHeight="1" x14ac:dyDescent="0.25">
      <c r="A187" s="271"/>
      <c r="B187" s="537"/>
      <c r="C187" s="271"/>
      <c r="D187" s="271"/>
      <c r="E187" s="271"/>
      <c r="F187" s="271"/>
      <c r="G187" s="271"/>
      <c r="H187" s="271"/>
      <c r="I187" s="271"/>
      <c r="J187" s="537"/>
      <c r="K187" s="537"/>
      <c r="L187" s="533"/>
      <c r="M187" s="211"/>
      <c r="N187" s="211"/>
      <c r="O187" s="211"/>
    </row>
    <row r="188" spans="1:15" s="208" customFormat="1" ht="20.100000000000001" customHeight="1" x14ac:dyDescent="0.25">
      <c r="A188" s="271"/>
      <c r="B188" s="222"/>
      <c r="C188" s="198"/>
      <c r="D188" s="198"/>
      <c r="E188" s="223"/>
      <c r="F188" s="33"/>
      <c r="G188" s="300"/>
      <c r="H188" s="300"/>
      <c r="I188" s="300"/>
      <c r="J188" s="300"/>
      <c r="K188" s="301"/>
      <c r="L188" s="300"/>
      <c r="M188" s="211"/>
      <c r="N188" s="211"/>
      <c r="O188" s="211"/>
    </row>
    <row r="189" spans="1:15" s="208" customFormat="1" ht="20.100000000000001" customHeight="1" x14ac:dyDescent="0.25">
      <c r="A189" s="271"/>
      <c r="B189" s="222"/>
      <c r="C189" s="198"/>
      <c r="D189" s="198"/>
      <c r="E189" s="223"/>
      <c r="F189" s="33"/>
      <c r="G189" s="300"/>
      <c r="H189" s="300"/>
      <c r="I189" s="300"/>
      <c r="J189" s="300"/>
      <c r="K189" s="300"/>
      <c r="L189" s="300"/>
      <c r="M189" s="211"/>
      <c r="N189" s="211"/>
      <c r="O189" s="211"/>
    </row>
    <row r="190" spans="1:15" s="208" customFormat="1" ht="20.100000000000001" customHeight="1" x14ac:dyDescent="0.25">
      <c r="A190" s="271"/>
      <c r="B190" s="222"/>
      <c r="C190" s="198"/>
      <c r="D190" s="198"/>
      <c r="E190" s="223"/>
      <c r="F190" s="33"/>
      <c r="G190" s="300"/>
      <c r="H190" s="300"/>
      <c r="I190" s="300"/>
      <c r="J190" s="300"/>
      <c r="K190" s="300"/>
      <c r="L190" s="300"/>
      <c r="M190" s="210"/>
      <c r="N190" s="210"/>
      <c r="O190" s="210"/>
    </row>
    <row r="191" spans="1:15" s="208" customFormat="1" ht="20.100000000000001" customHeight="1" x14ac:dyDescent="0.25">
      <c r="A191" s="271"/>
      <c r="B191" s="222"/>
      <c r="C191" s="198"/>
      <c r="D191" s="198"/>
      <c r="E191" s="223"/>
      <c r="F191" s="33"/>
      <c r="G191" s="300"/>
      <c r="H191" s="300"/>
      <c r="I191" s="300"/>
      <c r="J191" s="300"/>
      <c r="K191" s="300"/>
      <c r="L191" s="300"/>
      <c r="M191" s="211"/>
      <c r="N191" s="211"/>
      <c r="O191" s="211"/>
    </row>
    <row r="192" spans="1:15" s="208" customFormat="1" ht="20.100000000000001" customHeight="1" x14ac:dyDescent="0.25">
      <c r="A192" s="271"/>
      <c r="B192" s="222"/>
      <c r="C192" s="198"/>
      <c r="D192" s="198"/>
      <c r="E192" s="223"/>
      <c r="F192" s="33"/>
      <c r="G192" s="300"/>
      <c r="H192" s="300"/>
      <c r="I192" s="300"/>
      <c r="J192" s="300"/>
      <c r="K192" s="300"/>
      <c r="L192" s="300"/>
      <c r="M192" s="211"/>
      <c r="N192" s="211"/>
      <c r="O192" s="211"/>
    </row>
    <row r="193" spans="1:15" s="208" customFormat="1" ht="20.100000000000001" customHeight="1" x14ac:dyDescent="0.25">
      <c r="A193" s="271"/>
      <c r="B193" s="222"/>
      <c r="C193" s="198"/>
      <c r="D193" s="198"/>
      <c r="E193" s="223"/>
      <c r="F193" s="33"/>
      <c r="G193" s="300"/>
      <c r="H193" s="300"/>
      <c r="I193" s="300"/>
      <c r="J193" s="300"/>
      <c r="K193" s="300"/>
      <c r="L193" s="300"/>
      <c r="M193" s="211"/>
      <c r="N193" s="211"/>
      <c r="O193" s="211"/>
    </row>
    <row r="194" spans="1:15" s="208" customFormat="1" ht="20.100000000000001" customHeight="1" x14ac:dyDescent="0.25">
      <c r="A194" s="271"/>
      <c r="B194" s="222"/>
      <c r="C194" s="198"/>
      <c r="D194" s="198"/>
      <c r="E194" s="223"/>
      <c r="F194" s="33"/>
      <c r="G194" s="300"/>
      <c r="H194" s="300"/>
      <c r="I194" s="300"/>
      <c r="J194" s="300"/>
      <c r="K194" s="300"/>
      <c r="L194" s="300"/>
      <c r="M194" s="211"/>
      <c r="N194" s="211"/>
      <c r="O194" s="211"/>
    </row>
    <row r="195" spans="1:15" s="208" customFormat="1" ht="20.100000000000001" customHeight="1" x14ac:dyDescent="0.25">
      <c r="A195" s="271"/>
      <c r="B195" s="222"/>
      <c r="C195" s="198"/>
      <c r="D195" s="198"/>
      <c r="E195" s="223"/>
      <c r="F195" s="33"/>
      <c r="G195" s="300"/>
      <c r="H195" s="300"/>
      <c r="I195" s="300"/>
      <c r="J195" s="300"/>
      <c r="K195" s="300"/>
      <c r="L195" s="300"/>
      <c r="M195" s="211"/>
      <c r="N195" s="211"/>
      <c r="O195" s="211"/>
    </row>
    <row r="196" spans="1:15" s="208" customFormat="1" ht="20.100000000000001" customHeight="1" x14ac:dyDescent="0.25">
      <c r="A196" s="271"/>
      <c r="B196" s="222"/>
      <c r="C196" s="198"/>
      <c r="D196" s="198"/>
      <c r="E196" s="223"/>
      <c r="F196" s="33"/>
      <c r="G196" s="300"/>
      <c r="H196" s="300"/>
      <c r="I196" s="300"/>
      <c r="J196" s="300"/>
      <c r="K196" s="300"/>
      <c r="L196" s="300"/>
      <c r="M196" s="211"/>
      <c r="N196" s="211"/>
      <c r="O196" s="211"/>
    </row>
    <row r="197" spans="1:15" s="208" customFormat="1" ht="20.100000000000001" customHeight="1" x14ac:dyDescent="0.25">
      <c r="A197" s="271"/>
      <c r="B197" s="222"/>
      <c r="C197" s="198"/>
      <c r="D197" s="198"/>
      <c r="E197" s="223"/>
      <c r="F197" s="33"/>
      <c r="G197" s="300"/>
      <c r="H197" s="300"/>
      <c r="I197" s="300"/>
      <c r="J197" s="300"/>
      <c r="K197" s="300"/>
      <c r="L197" s="300"/>
      <c r="M197" s="211"/>
      <c r="N197" s="211"/>
      <c r="O197" s="211"/>
    </row>
    <row r="198" spans="1:15" s="208" customFormat="1" ht="20.100000000000001" customHeight="1" x14ac:dyDescent="0.25">
      <c r="A198" s="271"/>
      <c r="B198" s="222"/>
      <c r="C198" s="198"/>
      <c r="D198" s="198"/>
      <c r="E198" s="223"/>
      <c r="F198" s="33"/>
      <c r="G198" s="300"/>
      <c r="H198" s="300"/>
      <c r="I198" s="300"/>
      <c r="J198" s="300"/>
      <c r="K198" s="300"/>
      <c r="L198" s="300"/>
      <c r="M198" s="211"/>
      <c r="N198" s="211"/>
      <c r="O198" s="211"/>
    </row>
    <row r="199" spans="1:15" s="208" customFormat="1" ht="20.100000000000001" customHeight="1" x14ac:dyDescent="0.25">
      <c r="A199" s="271"/>
      <c r="B199" s="222"/>
      <c r="C199" s="198"/>
      <c r="D199" s="198"/>
      <c r="E199" s="223"/>
      <c r="F199" s="33"/>
      <c r="G199" s="300"/>
      <c r="H199" s="300"/>
      <c r="I199" s="300"/>
      <c r="J199" s="300"/>
      <c r="K199" s="300"/>
      <c r="L199" s="300"/>
      <c r="M199" s="211"/>
      <c r="N199" s="211"/>
      <c r="O199" s="211"/>
    </row>
    <row r="200" spans="1:15" s="208" customFormat="1" ht="20.100000000000001" customHeight="1" x14ac:dyDescent="0.25">
      <c r="A200" s="271"/>
      <c r="B200" s="222"/>
      <c r="C200" s="198"/>
      <c r="D200" s="198"/>
      <c r="E200" s="223"/>
      <c r="F200" s="33"/>
      <c r="G200" s="300"/>
      <c r="H200" s="300"/>
      <c r="I200" s="300"/>
      <c r="J200" s="300"/>
      <c r="K200" s="300"/>
      <c r="L200" s="300"/>
      <c r="M200" s="211"/>
      <c r="N200" s="211"/>
      <c r="O200" s="211"/>
    </row>
    <row r="201" spans="1:15" s="208" customFormat="1" ht="20.100000000000001" customHeight="1" x14ac:dyDescent="0.25">
      <c r="A201" s="271"/>
      <c r="B201" s="222"/>
      <c r="C201" s="198"/>
      <c r="D201" s="198"/>
      <c r="E201" s="223"/>
      <c r="F201" s="33"/>
      <c r="G201" s="300"/>
      <c r="H201" s="300"/>
      <c r="I201" s="300"/>
      <c r="J201" s="300"/>
      <c r="K201" s="300"/>
      <c r="L201" s="300"/>
      <c r="M201" s="211"/>
      <c r="N201" s="211"/>
      <c r="O201" s="211"/>
    </row>
    <row r="202" spans="1:15" s="208" customFormat="1" ht="20.100000000000001" customHeight="1" x14ac:dyDescent="0.25">
      <c r="A202" s="271"/>
      <c r="B202" s="222"/>
      <c r="C202" s="198"/>
      <c r="D202" s="198"/>
      <c r="E202" s="223"/>
      <c r="F202" s="33"/>
      <c r="G202" s="300"/>
      <c r="H202" s="300"/>
      <c r="I202" s="300"/>
      <c r="J202" s="300"/>
      <c r="K202" s="300"/>
      <c r="L202" s="300"/>
      <c r="M202" s="211"/>
      <c r="N202" s="211"/>
      <c r="O202" s="211"/>
    </row>
    <row r="203" spans="1:15" s="208" customFormat="1" ht="45" customHeight="1" x14ac:dyDescent="0.25">
      <c r="A203" s="271"/>
      <c r="B203" s="640"/>
      <c r="C203" s="640"/>
      <c r="D203" s="640"/>
      <c r="E203" s="640"/>
      <c r="F203" s="640"/>
      <c r="G203" s="640"/>
      <c r="H203" s="640"/>
      <c r="I203" s="33"/>
      <c r="J203" s="33"/>
      <c r="K203" s="198"/>
      <c r="L203" s="272"/>
      <c r="M203" s="211"/>
      <c r="N203" s="211"/>
      <c r="O203" s="211"/>
    </row>
    <row r="204" spans="1:15" s="208" customFormat="1" ht="30" customHeight="1" x14ac:dyDescent="0.25">
      <c r="A204" s="271"/>
      <c r="B204" s="271"/>
      <c r="C204" s="271"/>
      <c r="D204" s="271"/>
      <c r="E204" s="271"/>
      <c r="F204" s="271"/>
      <c r="G204" s="271"/>
      <c r="H204" s="271"/>
      <c r="I204" s="271"/>
      <c r="J204" s="271"/>
      <c r="K204" s="271"/>
      <c r="L204" s="271"/>
      <c r="M204" s="211"/>
      <c r="N204" s="211"/>
      <c r="O204" s="211"/>
    </row>
    <row r="205" spans="1:15" s="208" customFormat="1" ht="20.100000000000001" customHeight="1" x14ac:dyDescent="0.25">
      <c r="A205" s="271"/>
      <c r="B205" s="555"/>
      <c r="C205" s="555"/>
      <c r="D205" s="555"/>
      <c r="E205" s="555"/>
      <c r="F205" s="555"/>
      <c r="G205" s="555"/>
      <c r="H205" s="555"/>
      <c r="I205" s="555"/>
      <c r="J205" s="555"/>
      <c r="K205" s="555"/>
      <c r="L205" s="555"/>
      <c r="M205" s="211"/>
      <c r="N205" s="211"/>
      <c r="O205" s="211"/>
    </row>
    <row r="206" spans="1:15" s="208" customFormat="1" ht="20.100000000000001" customHeight="1" x14ac:dyDescent="0.25">
      <c r="A206" s="271"/>
      <c r="B206" s="555"/>
      <c r="C206" s="555"/>
      <c r="D206" s="555"/>
      <c r="E206" s="555"/>
      <c r="F206" s="555"/>
      <c r="G206" s="555"/>
      <c r="H206" s="555"/>
      <c r="I206" s="555"/>
      <c r="J206" s="555"/>
      <c r="K206" s="555"/>
      <c r="L206" s="555"/>
      <c r="M206" s="211"/>
      <c r="N206" s="211"/>
      <c r="O206" s="211"/>
    </row>
    <row r="207" spans="1:15" s="208" customFormat="1" ht="20.100000000000001" customHeight="1" x14ac:dyDescent="0.25">
      <c r="A207" s="271"/>
      <c r="B207" s="537"/>
      <c r="C207" s="271"/>
      <c r="D207" s="537"/>
      <c r="E207" s="537"/>
      <c r="F207" s="537"/>
      <c r="G207" s="271"/>
      <c r="H207" s="271"/>
      <c r="I207" s="271"/>
      <c r="J207" s="537"/>
      <c r="K207" s="537"/>
      <c r="L207" s="533"/>
      <c r="M207" s="211"/>
      <c r="N207" s="211"/>
      <c r="O207" s="211"/>
    </row>
    <row r="208" spans="1:15" s="208" customFormat="1" ht="20.100000000000001" customHeight="1" x14ac:dyDescent="0.25">
      <c r="A208" s="271"/>
      <c r="B208" s="537"/>
      <c r="C208" s="271"/>
      <c r="D208" s="271"/>
      <c r="E208" s="271"/>
      <c r="F208" s="271"/>
      <c r="G208" s="271"/>
      <c r="H208" s="271"/>
      <c r="I208" s="271"/>
      <c r="J208" s="537"/>
      <c r="K208" s="537"/>
      <c r="L208" s="533"/>
      <c r="M208" s="211"/>
      <c r="N208" s="211"/>
      <c r="O208" s="211"/>
    </row>
    <row r="209" spans="1:15" s="208" customFormat="1" ht="20.100000000000001" customHeight="1" x14ac:dyDescent="0.25">
      <c r="A209" s="271"/>
      <c r="B209" s="222"/>
      <c r="C209" s="198"/>
      <c r="D209" s="198"/>
      <c r="E209" s="223"/>
      <c r="F209" s="33"/>
      <c r="G209" s="300"/>
      <c r="H209" s="300"/>
      <c r="I209" s="300"/>
      <c r="J209" s="300"/>
      <c r="K209" s="301"/>
      <c r="L209" s="300"/>
      <c r="M209" s="211"/>
      <c r="N209" s="211"/>
      <c r="O209" s="211"/>
    </row>
    <row r="210" spans="1:15" s="208" customFormat="1" ht="20.100000000000001" customHeight="1" x14ac:dyDescent="0.25">
      <c r="A210" s="271"/>
      <c r="B210" s="222"/>
      <c r="C210" s="198"/>
      <c r="D210" s="198"/>
      <c r="E210" s="223"/>
      <c r="F210" s="33"/>
      <c r="G210" s="300"/>
      <c r="H210" s="300"/>
      <c r="I210" s="300"/>
      <c r="J210" s="300"/>
      <c r="K210" s="300"/>
      <c r="L210" s="300"/>
      <c r="M210" s="211"/>
      <c r="N210" s="211"/>
      <c r="O210" s="211"/>
    </row>
    <row r="211" spans="1:15" s="208" customFormat="1" ht="20.100000000000001" customHeight="1" x14ac:dyDescent="0.25">
      <c r="A211" s="271"/>
      <c r="B211" s="222"/>
      <c r="C211" s="198"/>
      <c r="D211" s="198"/>
      <c r="E211" s="223"/>
      <c r="F211" s="33"/>
      <c r="G211" s="300"/>
      <c r="H211" s="300"/>
      <c r="I211" s="300"/>
      <c r="J211" s="300"/>
      <c r="K211" s="300"/>
      <c r="L211" s="300"/>
      <c r="M211" s="211"/>
      <c r="N211" s="211"/>
      <c r="O211" s="211"/>
    </row>
    <row r="212" spans="1:15" s="208" customFormat="1" ht="20.100000000000001" customHeight="1" x14ac:dyDescent="0.25">
      <c r="A212" s="271"/>
      <c r="B212" s="222"/>
      <c r="C212" s="198"/>
      <c r="D212" s="198"/>
      <c r="E212" s="223"/>
      <c r="F212" s="33"/>
      <c r="G212" s="300"/>
      <c r="H212" s="300"/>
      <c r="I212" s="300"/>
      <c r="J212" s="300"/>
      <c r="K212" s="300"/>
      <c r="L212" s="300"/>
      <c r="M212" s="211"/>
      <c r="N212" s="211"/>
      <c r="O212" s="211"/>
    </row>
    <row r="213" spans="1:15" s="208" customFormat="1" ht="20.100000000000001" customHeight="1" x14ac:dyDescent="0.25">
      <c r="A213" s="271"/>
      <c r="B213" s="222"/>
      <c r="C213" s="198"/>
      <c r="D213" s="198"/>
      <c r="E213" s="223"/>
      <c r="F213" s="33"/>
      <c r="G213" s="300"/>
      <c r="H213" s="300"/>
      <c r="I213" s="300"/>
      <c r="J213" s="300"/>
      <c r="K213" s="300"/>
      <c r="L213" s="300"/>
      <c r="M213" s="211"/>
      <c r="N213" s="211"/>
      <c r="O213" s="211"/>
    </row>
    <row r="214" spans="1:15" s="208" customFormat="1" ht="20.100000000000001" customHeight="1" x14ac:dyDescent="0.25">
      <c r="A214" s="271"/>
      <c r="B214" s="222"/>
      <c r="C214" s="198"/>
      <c r="D214" s="198"/>
      <c r="E214" s="223"/>
      <c r="F214" s="33"/>
      <c r="G214" s="300"/>
      <c r="H214" s="300"/>
      <c r="I214" s="300"/>
      <c r="J214" s="300"/>
      <c r="K214" s="300"/>
      <c r="L214" s="300"/>
      <c r="M214" s="211"/>
      <c r="N214" s="211"/>
      <c r="O214" s="211"/>
    </row>
    <row r="215" spans="1:15" s="208" customFormat="1" ht="20.100000000000001" customHeight="1" x14ac:dyDescent="0.25">
      <c r="A215" s="271"/>
      <c r="B215" s="222"/>
      <c r="C215" s="198"/>
      <c r="D215" s="198"/>
      <c r="E215" s="223"/>
      <c r="F215" s="33"/>
      <c r="G215" s="300"/>
      <c r="H215" s="300"/>
      <c r="I215" s="300"/>
      <c r="J215" s="300"/>
      <c r="K215" s="300"/>
      <c r="L215" s="300"/>
      <c r="M215" s="210"/>
      <c r="N215" s="210"/>
      <c r="O215" s="210"/>
    </row>
    <row r="216" spans="1:15" s="208" customFormat="1" ht="20.100000000000001" customHeight="1" x14ac:dyDescent="0.25">
      <c r="A216" s="271"/>
      <c r="B216" s="222"/>
      <c r="C216" s="198"/>
      <c r="D216" s="198"/>
      <c r="E216" s="223"/>
      <c r="F216" s="33"/>
      <c r="G216" s="300"/>
      <c r="H216" s="300"/>
      <c r="I216" s="300"/>
      <c r="J216" s="300"/>
      <c r="K216" s="300"/>
      <c r="L216" s="300"/>
      <c r="M216" s="211"/>
      <c r="N216" s="211"/>
      <c r="O216" s="211"/>
    </row>
    <row r="217" spans="1:15" s="208" customFormat="1" ht="20.100000000000001" customHeight="1" x14ac:dyDescent="0.25">
      <c r="A217" s="271"/>
      <c r="B217" s="222"/>
      <c r="C217" s="198"/>
      <c r="D217" s="198"/>
      <c r="E217" s="223"/>
      <c r="F217" s="33"/>
      <c r="G217" s="300"/>
      <c r="H217" s="300"/>
      <c r="I217" s="300"/>
      <c r="J217" s="300"/>
      <c r="K217" s="300"/>
      <c r="L217" s="300"/>
      <c r="M217" s="211"/>
      <c r="N217" s="211"/>
      <c r="O217" s="211"/>
    </row>
    <row r="218" spans="1:15" s="208" customFormat="1" ht="20.100000000000001" customHeight="1" x14ac:dyDescent="0.25">
      <c r="A218" s="271"/>
      <c r="B218" s="222"/>
      <c r="C218" s="198"/>
      <c r="D218" s="198"/>
      <c r="E218" s="223"/>
      <c r="F218" s="33"/>
      <c r="G218" s="300"/>
      <c r="H218" s="300"/>
      <c r="I218" s="300"/>
      <c r="J218" s="300"/>
      <c r="K218" s="300"/>
      <c r="L218" s="300"/>
      <c r="M218" s="211"/>
      <c r="N218" s="211"/>
      <c r="O218" s="211"/>
    </row>
    <row r="219" spans="1:15" s="208" customFormat="1" ht="20.100000000000001" customHeight="1" x14ac:dyDescent="0.25">
      <c r="A219" s="271"/>
      <c r="B219" s="222"/>
      <c r="C219" s="198"/>
      <c r="D219" s="198"/>
      <c r="E219" s="223"/>
      <c r="F219" s="33"/>
      <c r="G219" s="300"/>
      <c r="H219" s="300"/>
      <c r="I219" s="300"/>
      <c r="J219" s="300"/>
      <c r="K219" s="300"/>
      <c r="L219" s="300"/>
      <c r="M219" s="211"/>
      <c r="N219" s="211"/>
      <c r="O219" s="211"/>
    </row>
    <row r="220" spans="1:15" s="208" customFormat="1" ht="20.100000000000001" customHeight="1" x14ac:dyDescent="0.25">
      <c r="A220" s="271"/>
      <c r="B220" s="222"/>
      <c r="C220" s="198"/>
      <c r="D220" s="198"/>
      <c r="E220" s="223"/>
      <c r="F220" s="33"/>
      <c r="G220" s="300"/>
      <c r="H220" s="300"/>
      <c r="I220" s="300"/>
      <c r="J220" s="300"/>
      <c r="K220" s="300"/>
      <c r="L220" s="300"/>
      <c r="M220" s="211"/>
      <c r="N220" s="211"/>
      <c r="O220" s="211"/>
    </row>
    <row r="221" spans="1:15" s="208" customFormat="1" ht="20.100000000000001" customHeight="1" x14ac:dyDescent="0.25">
      <c r="A221" s="271"/>
      <c r="B221" s="222"/>
      <c r="C221" s="198"/>
      <c r="D221" s="198"/>
      <c r="E221" s="223"/>
      <c r="F221" s="33"/>
      <c r="G221" s="300"/>
      <c r="H221" s="300"/>
      <c r="I221" s="300"/>
      <c r="J221" s="300"/>
      <c r="K221" s="300"/>
      <c r="L221" s="300"/>
      <c r="M221" s="211"/>
      <c r="N221" s="211"/>
      <c r="O221" s="211"/>
    </row>
    <row r="222" spans="1:15" s="208" customFormat="1" ht="20.100000000000001" customHeight="1" x14ac:dyDescent="0.25">
      <c r="A222" s="271"/>
      <c r="B222" s="222"/>
      <c r="C222" s="198"/>
      <c r="D222" s="198"/>
      <c r="E222" s="223"/>
      <c r="F222" s="33"/>
      <c r="G222" s="300"/>
      <c r="H222" s="300"/>
      <c r="I222" s="300"/>
      <c r="J222" s="300"/>
      <c r="K222" s="300"/>
      <c r="L222" s="300"/>
      <c r="M222" s="211"/>
      <c r="N222" s="211"/>
      <c r="O222" s="211"/>
    </row>
    <row r="223" spans="1:15" s="208" customFormat="1" ht="20.100000000000001" customHeight="1" x14ac:dyDescent="0.25">
      <c r="A223" s="271"/>
      <c r="B223" s="222"/>
      <c r="C223" s="198"/>
      <c r="D223" s="198"/>
      <c r="E223" s="223"/>
      <c r="F223" s="33"/>
      <c r="G223" s="300"/>
      <c r="H223" s="300"/>
      <c r="I223" s="300"/>
      <c r="J223" s="300"/>
      <c r="K223" s="300"/>
      <c r="L223" s="300"/>
      <c r="M223" s="211"/>
      <c r="N223" s="211"/>
      <c r="O223" s="211"/>
    </row>
    <row r="224" spans="1:15" s="208" customFormat="1" ht="45" customHeight="1" x14ac:dyDescent="0.25">
      <c r="A224" s="271"/>
      <c r="B224" s="640"/>
      <c r="C224" s="640"/>
      <c r="D224" s="640"/>
      <c r="E224" s="640"/>
      <c r="F224" s="640"/>
      <c r="G224" s="640"/>
      <c r="H224" s="640"/>
      <c r="I224" s="33"/>
      <c r="J224" s="33"/>
      <c r="K224" s="198"/>
      <c r="L224" s="272"/>
      <c r="M224" s="211"/>
      <c r="N224" s="211"/>
      <c r="O224" s="211"/>
    </row>
    <row r="225" spans="1:15" s="208" customFormat="1" ht="30" customHeight="1" x14ac:dyDescent="0.25">
      <c r="A225" s="271"/>
      <c r="B225" s="271"/>
      <c r="C225" s="271"/>
      <c r="D225" s="271"/>
      <c r="E225" s="271"/>
      <c r="F225" s="271"/>
      <c r="G225" s="271"/>
      <c r="H225" s="271"/>
      <c r="I225" s="271"/>
      <c r="J225" s="271"/>
      <c r="K225" s="271"/>
      <c r="L225" s="271"/>
      <c r="M225" s="211"/>
      <c r="N225" s="211"/>
      <c r="O225" s="211"/>
    </row>
    <row r="226" spans="1:15" s="208" customFormat="1" ht="20.100000000000001" customHeight="1" x14ac:dyDescent="0.25">
      <c r="A226" s="271"/>
      <c r="B226" s="555"/>
      <c r="C226" s="555"/>
      <c r="D226" s="555"/>
      <c r="E226" s="555"/>
      <c r="F226" s="555"/>
      <c r="G226" s="555"/>
      <c r="H226" s="555"/>
      <c r="I226" s="555"/>
      <c r="J226" s="555"/>
      <c r="K226" s="555"/>
      <c r="L226" s="555"/>
      <c r="M226" s="211"/>
      <c r="N226" s="211"/>
      <c r="O226" s="211"/>
    </row>
    <row r="227" spans="1:15" s="208" customFormat="1" ht="20.100000000000001" customHeight="1" x14ac:dyDescent="0.25">
      <c r="A227" s="271"/>
      <c r="B227" s="555"/>
      <c r="C227" s="555"/>
      <c r="D227" s="555"/>
      <c r="E227" s="555"/>
      <c r="F227" s="555"/>
      <c r="G227" s="555"/>
      <c r="H227" s="555"/>
      <c r="I227" s="555"/>
      <c r="J227" s="555"/>
      <c r="K227" s="555"/>
      <c r="L227" s="555"/>
      <c r="M227" s="211"/>
      <c r="N227" s="211"/>
      <c r="O227" s="211"/>
    </row>
    <row r="228" spans="1:15" s="208" customFormat="1" ht="20.100000000000001" customHeight="1" x14ac:dyDescent="0.25">
      <c r="A228" s="271"/>
      <c r="B228" s="537"/>
      <c r="C228" s="271"/>
      <c r="D228" s="537"/>
      <c r="E228" s="537"/>
      <c r="F228" s="537"/>
      <c r="G228" s="271"/>
      <c r="H228" s="271"/>
      <c r="I228" s="271"/>
      <c r="J228" s="537"/>
      <c r="K228" s="537"/>
      <c r="L228" s="533"/>
      <c r="M228" s="211"/>
      <c r="N228" s="211"/>
      <c r="O228" s="211"/>
    </row>
    <row r="229" spans="1:15" s="208" customFormat="1" ht="20.100000000000001" customHeight="1" x14ac:dyDescent="0.25">
      <c r="A229" s="271"/>
      <c r="B229" s="537"/>
      <c r="C229" s="271"/>
      <c r="D229" s="271"/>
      <c r="E229" s="271"/>
      <c r="F229" s="271"/>
      <c r="G229" s="271"/>
      <c r="H229" s="271"/>
      <c r="I229" s="271"/>
      <c r="J229" s="537"/>
      <c r="K229" s="537"/>
      <c r="L229" s="533"/>
      <c r="M229" s="211"/>
      <c r="N229" s="211"/>
      <c r="O229" s="211"/>
    </row>
    <row r="230" spans="1:15" s="208" customFormat="1" ht="20.100000000000001" customHeight="1" x14ac:dyDescent="0.25">
      <c r="A230" s="271"/>
      <c r="B230" s="222"/>
      <c r="C230" s="198"/>
      <c r="D230" s="198"/>
      <c r="E230" s="223"/>
      <c r="F230" s="33"/>
      <c r="G230" s="300"/>
      <c r="H230" s="300"/>
      <c r="I230" s="300"/>
      <c r="J230" s="300"/>
      <c r="K230" s="301"/>
      <c r="L230" s="300"/>
      <c r="M230" s="211"/>
      <c r="N230" s="211"/>
      <c r="O230" s="211"/>
    </row>
    <row r="231" spans="1:15" s="208" customFormat="1" ht="20.100000000000001" customHeight="1" x14ac:dyDescent="0.25">
      <c r="A231" s="271"/>
      <c r="B231" s="222"/>
      <c r="C231" s="198"/>
      <c r="D231" s="198"/>
      <c r="E231" s="223"/>
      <c r="F231" s="33"/>
      <c r="G231" s="300"/>
      <c r="H231" s="300"/>
      <c r="I231" s="300"/>
      <c r="J231" s="300"/>
      <c r="K231" s="300"/>
      <c r="L231" s="300"/>
      <c r="M231" s="211"/>
      <c r="N231" s="211"/>
      <c r="O231" s="211"/>
    </row>
    <row r="232" spans="1:15" s="208" customFormat="1" ht="20.100000000000001" customHeight="1" x14ac:dyDescent="0.25">
      <c r="A232" s="271"/>
      <c r="B232" s="222"/>
      <c r="C232" s="198"/>
      <c r="D232" s="198"/>
      <c r="E232" s="223"/>
      <c r="F232" s="33"/>
      <c r="G232" s="300"/>
      <c r="H232" s="300"/>
      <c r="I232" s="300"/>
      <c r="J232" s="300"/>
      <c r="K232" s="300"/>
      <c r="L232" s="300"/>
      <c r="M232" s="211"/>
      <c r="N232" s="211"/>
      <c r="O232" s="211"/>
    </row>
    <row r="233" spans="1:15" s="208" customFormat="1" ht="20.100000000000001" customHeight="1" x14ac:dyDescent="0.25">
      <c r="A233" s="271"/>
      <c r="B233" s="222"/>
      <c r="C233" s="198"/>
      <c r="D233" s="198"/>
      <c r="E233" s="223"/>
      <c r="F233" s="33"/>
      <c r="G233" s="300"/>
      <c r="H233" s="300"/>
      <c r="I233" s="300"/>
      <c r="J233" s="300"/>
      <c r="K233" s="300"/>
      <c r="L233" s="300"/>
      <c r="M233" s="211"/>
      <c r="N233" s="211"/>
      <c r="O233" s="211"/>
    </row>
    <row r="234" spans="1:15" s="208" customFormat="1" ht="20.100000000000001" customHeight="1" x14ac:dyDescent="0.25">
      <c r="A234" s="271"/>
      <c r="B234" s="222"/>
      <c r="C234" s="198"/>
      <c r="D234" s="198"/>
      <c r="E234" s="223"/>
      <c r="F234" s="33"/>
      <c r="G234" s="300"/>
      <c r="H234" s="300"/>
      <c r="I234" s="300"/>
      <c r="J234" s="300"/>
      <c r="K234" s="300"/>
      <c r="L234" s="300"/>
      <c r="M234" s="211"/>
      <c r="N234" s="211"/>
      <c r="O234" s="211"/>
    </row>
    <row r="235" spans="1:15" s="208" customFormat="1" ht="20.100000000000001" customHeight="1" x14ac:dyDescent="0.25">
      <c r="A235" s="271"/>
      <c r="B235" s="222"/>
      <c r="C235" s="198"/>
      <c r="D235" s="198"/>
      <c r="E235" s="223"/>
      <c r="F235" s="33"/>
      <c r="G235" s="300"/>
      <c r="H235" s="300"/>
      <c r="I235" s="300"/>
      <c r="J235" s="300"/>
      <c r="K235" s="300"/>
      <c r="L235" s="300"/>
      <c r="M235" s="211"/>
      <c r="N235" s="211"/>
      <c r="O235" s="211"/>
    </row>
    <row r="236" spans="1:15" s="208" customFormat="1" ht="20.100000000000001" customHeight="1" x14ac:dyDescent="0.25">
      <c r="A236" s="271"/>
      <c r="B236" s="222"/>
      <c r="C236" s="198"/>
      <c r="D236" s="198"/>
      <c r="E236" s="223"/>
      <c r="F236" s="33"/>
      <c r="G236" s="300"/>
      <c r="H236" s="300"/>
      <c r="I236" s="300"/>
      <c r="J236" s="300"/>
      <c r="K236" s="300"/>
      <c r="L236" s="300"/>
      <c r="M236" s="211"/>
      <c r="N236" s="211"/>
      <c r="O236" s="211"/>
    </row>
    <row r="237" spans="1:15" s="208" customFormat="1" ht="20.100000000000001" customHeight="1" x14ac:dyDescent="0.25">
      <c r="A237" s="271"/>
      <c r="B237" s="222"/>
      <c r="C237" s="198"/>
      <c r="D237" s="198"/>
      <c r="E237" s="223"/>
      <c r="F237" s="33"/>
      <c r="G237" s="300"/>
      <c r="H237" s="300"/>
      <c r="I237" s="300"/>
      <c r="J237" s="300"/>
      <c r="K237" s="300"/>
      <c r="L237" s="300"/>
      <c r="M237" s="211"/>
      <c r="N237" s="211"/>
      <c r="O237" s="211"/>
    </row>
    <row r="238" spans="1:15" s="208" customFormat="1" ht="20.100000000000001" customHeight="1" x14ac:dyDescent="0.25">
      <c r="A238" s="271"/>
      <c r="B238" s="222"/>
      <c r="C238" s="198"/>
      <c r="D238" s="198"/>
      <c r="E238" s="223"/>
      <c r="F238" s="33"/>
      <c r="G238" s="300"/>
      <c r="H238" s="300"/>
      <c r="I238" s="300"/>
      <c r="J238" s="300"/>
      <c r="K238" s="300"/>
      <c r="L238" s="300"/>
      <c r="M238" s="211"/>
      <c r="N238" s="211"/>
      <c r="O238" s="211"/>
    </row>
    <row r="239" spans="1:15" s="208" customFormat="1" ht="20.100000000000001" customHeight="1" x14ac:dyDescent="0.25">
      <c r="A239" s="271"/>
      <c r="B239" s="222"/>
      <c r="C239" s="198"/>
      <c r="D239" s="198"/>
      <c r="E239" s="223"/>
      <c r="F239" s="33"/>
      <c r="G239" s="300"/>
      <c r="H239" s="300"/>
      <c r="I239" s="300"/>
      <c r="J239" s="300"/>
      <c r="K239" s="300"/>
      <c r="L239" s="300"/>
      <c r="M239" s="211"/>
      <c r="N239" s="211"/>
      <c r="O239" s="211"/>
    </row>
    <row r="240" spans="1:15" s="208" customFormat="1" ht="20.100000000000001" customHeight="1" x14ac:dyDescent="0.25">
      <c r="A240" s="271"/>
      <c r="B240" s="222"/>
      <c r="C240" s="198"/>
      <c r="D240" s="198"/>
      <c r="E240" s="223"/>
      <c r="F240" s="33"/>
      <c r="G240" s="300"/>
      <c r="H240" s="300"/>
      <c r="I240" s="300"/>
      <c r="J240" s="300"/>
      <c r="K240" s="300"/>
      <c r="L240" s="300"/>
      <c r="M240" s="210"/>
      <c r="N240" s="210"/>
      <c r="O240" s="210"/>
    </row>
    <row r="241" spans="1:15" s="208" customFormat="1" ht="20.100000000000001" customHeight="1" x14ac:dyDescent="0.25">
      <c r="A241" s="271"/>
      <c r="B241" s="222"/>
      <c r="C241" s="198"/>
      <c r="D241" s="198"/>
      <c r="E241" s="223"/>
      <c r="F241" s="33"/>
      <c r="G241" s="300"/>
      <c r="H241" s="300"/>
      <c r="I241" s="300"/>
      <c r="J241" s="300"/>
      <c r="K241" s="300"/>
      <c r="L241" s="300"/>
      <c r="M241" s="211"/>
      <c r="N241" s="211"/>
      <c r="O241" s="211"/>
    </row>
    <row r="242" spans="1:15" s="208" customFormat="1" ht="20.100000000000001" customHeight="1" x14ac:dyDescent="0.25">
      <c r="A242" s="271"/>
      <c r="B242" s="222"/>
      <c r="C242" s="198"/>
      <c r="D242" s="198"/>
      <c r="E242" s="223"/>
      <c r="F242" s="33"/>
      <c r="G242" s="300"/>
      <c r="H242" s="300"/>
      <c r="I242" s="300"/>
      <c r="J242" s="300"/>
      <c r="K242" s="300"/>
      <c r="L242" s="300"/>
      <c r="M242" s="211"/>
      <c r="N242" s="211"/>
      <c r="O242" s="211"/>
    </row>
    <row r="243" spans="1:15" s="208" customFormat="1" ht="20.100000000000001" customHeight="1" x14ac:dyDescent="0.25">
      <c r="A243" s="271"/>
      <c r="B243" s="222"/>
      <c r="C243" s="198"/>
      <c r="D243" s="198"/>
      <c r="E243" s="223"/>
      <c r="F243" s="33"/>
      <c r="G243" s="300"/>
      <c r="H243" s="300"/>
      <c r="I243" s="300"/>
      <c r="J243" s="300"/>
      <c r="K243" s="300"/>
      <c r="L243" s="300"/>
      <c r="M243" s="211"/>
      <c r="N243" s="211"/>
      <c r="O243" s="211"/>
    </row>
    <row r="244" spans="1:15" ht="20.100000000000001" customHeight="1" x14ac:dyDescent="0.25">
      <c r="A244" s="271"/>
      <c r="B244" s="222"/>
      <c r="C244" s="198"/>
      <c r="D244" s="198"/>
      <c r="E244" s="223"/>
      <c r="F244" s="33"/>
      <c r="G244" s="300"/>
      <c r="H244" s="300"/>
      <c r="I244" s="300"/>
      <c r="J244" s="300"/>
      <c r="K244" s="300"/>
      <c r="L244" s="300"/>
    </row>
    <row r="245" spans="1:15" ht="45" customHeight="1" x14ac:dyDescent="0.25">
      <c r="A245" s="271"/>
      <c r="B245" s="640"/>
      <c r="C245" s="640"/>
      <c r="D245" s="640"/>
      <c r="E245" s="640"/>
      <c r="F245" s="640"/>
      <c r="G245" s="640"/>
      <c r="H245" s="640"/>
      <c r="I245" s="33"/>
      <c r="J245" s="33"/>
      <c r="K245" s="198"/>
      <c r="L245" s="272"/>
    </row>
    <row r="246" spans="1:15" ht="30" customHeight="1" x14ac:dyDescent="0.25">
      <c r="A246" s="271"/>
      <c r="B246" s="271"/>
      <c r="C246" s="271"/>
      <c r="D246" s="271"/>
      <c r="E246" s="271"/>
      <c r="F246" s="271"/>
      <c r="G246" s="271"/>
      <c r="H246" s="271"/>
      <c r="I246" s="271"/>
      <c r="J246" s="271"/>
      <c r="K246" s="271"/>
      <c r="L246" s="271"/>
    </row>
    <row r="247" spans="1:15" ht="20.100000000000001" customHeight="1" x14ac:dyDescent="0.25">
      <c r="A247" s="271"/>
      <c r="B247" s="555"/>
      <c r="C247" s="555"/>
      <c r="D247" s="555"/>
      <c r="E247" s="555"/>
      <c r="F247" s="555"/>
      <c r="G247" s="555"/>
      <c r="H247" s="555"/>
      <c r="I247" s="555"/>
      <c r="J247" s="555"/>
      <c r="K247" s="555"/>
      <c r="L247" s="555"/>
    </row>
    <row r="248" spans="1:15" ht="20.100000000000001" customHeight="1" x14ac:dyDescent="0.25">
      <c r="A248" s="271"/>
      <c r="B248" s="555"/>
      <c r="C248" s="555"/>
      <c r="D248" s="555"/>
      <c r="E248" s="555"/>
      <c r="F248" s="555"/>
      <c r="G248" s="555"/>
      <c r="H248" s="555"/>
      <c r="I248" s="555"/>
      <c r="J248" s="555"/>
      <c r="K248" s="555"/>
      <c r="L248" s="555"/>
    </row>
    <row r="249" spans="1:15" ht="20.100000000000001" customHeight="1" x14ac:dyDescent="0.25">
      <c r="A249" s="271"/>
      <c r="B249" s="537"/>
      <c r="C249" s="271"/>
      <c r="D249" s="537"/>
      <c r="E249" s="537"/>
      <c r="F249" s="537"/>
      <c r="G249" s="271"/>
      <c r="H249" s="271"/>
      <c r="I249" s="271"/>
      <c r="J249" s="537"/>
      <c r="K249" s="537"/>
      <c r="L249" s="533"/>
    </row>
    <row r="250" spans="1:15" ht="20.100000000000001" customHeight="1" x14ac:dyDescent="0.25">
      <c r="A250" s="271"/>
      <c r="B250" s="537"/>
      <c r="C250" s="271"/>
      <c r="D250" s="271"/>
      <c r="E250" s="271"/>
      <c r="F250" s="271"/>
      <c r="G250" s="271"/>
      <c r="H250" s="271"/>
      <c r="I250" s="271"/>
      <c r="J250" s="537"/>
      <c r="K250" s="537"/>
      <c r="L250" s="533"/>
    </row>
    <row r="251" spans="1:15" ht="20.100000000000001" customHeight="1" x14ac:dyDescent="0.25">
      <c r="A251" s="271"/>
      <c r="B251" s="222"/>
      <c r="C251" s="198"/>
      <c r="D251" s="198"/>
      <c r="E251" s="223"/>
      <c r="F251" s="33"/>
      <c r="G251" s="300"/>
      <c r="H251" s="300"/>
      <c r="I251" s="300"/>
      <c r="J251" s="300"/>
      <c r="K251" s="301"/>
      <c r="L251" s="300"/>
    </row>
    <row r="252" spans="1:15" ht="20.100000000000001" customHeight="1" x14ac:dyDescent="0.25">
      <c r="A252" s="271"/>
      <c r="B252" s="222"/>
      <c r="C252" s="198"/>
      <c r="D252" s="198"/>
      <c r="E252" s="223"/>
      <c r="F252" s="33"/>
      <c r="G252" s="300"/>
      <c r="H252" s="300"/>
      <c r="I252" s="300"/>
      <c r="J252" s="300"/>
      <c r="K252" s="300"/>
      <c r="L252" s="300"/>
    </row>
    <row r="253" spans="1:15" ht="20.100000000000001" customHeight="1" x14ac:dyDescent="0.25">
      <c r="A253" s="271"/>
      <c r="B253" s="222"/>
      <c r="C253" s="198"/>
      <c r="D253" s="198"/>
      <c r="E253" s="223"/>
      <c r="F253" s="33"/>
      <c r="G253" s="300"/>
      <c r="H253" s="300"/>
      <c r="I253" s="300"/>
      <c r="J253" s="300"/>
      <c r="K253" s="300"/>
      <c r="L253" s="300"/>
    </row>
    <row r="254" spans="1:15" ht="20.100000000000001" customHeight="1" x14ac:dyDescent="0.25">
      <c r="A254" s="271"/>
      <c r="B254" s="222"/>
      <c r="C254" s="198"/>
      <c r="D254" s="198"/>
      <c r="E254" s="223"/>
      <c r="F254" s="33"/>
      <c r="G254" s="300"/>
      <c r="H254" s="300"/>
      <c r="I254" s="300"/>
      <c r="J254" s="300"/>
      <c r="K254" s="300"/>
      <c r="L254" s="300"/>
    </row>
    <row r="255" spans="1:15" ht="20.100000000000001" customHeight="1" x14ac:dyDescent="0.25">
      <c r="A255" s="271"/>
      <c r="B255" s="222"/>
      <c r="C255" s="198"/>
      <c r="D255" s="198"/>
      <c r="E255" s="223"/>
      <c r="F255" s="33"/>
      <c r="G255" s="300"/>
      <c r="H255" s="300"/>
      <c r="I255" s="300"/>
      <c r="J255" s="300"/>
      <c r="K255" s="300"/>
      <c r="L255" s="300"/>
    </row>
    <row r="256" spans="1:15" ht="20.100000000000001" customHeight="1" x14ac:dyDescent="0.25">
      <c r="A256" s="271"/>
      <c r="B256" s="222"/>
      <c r="C256" s="198"/>
      <c r="D256" s="198"/>
      <c r="E256" s="223"/>
      <c r="F256" s="33"/>
      <c r="G256" s="300"/>
      <c r="H256" s="300"/>
      <c r="I256" s="300"/>
      <c r="J256" s="300"/>
      <c r="K256" s="300"/>
      <c r="L256" s="300"/>
    </row>
    <row r="257" spans="1:15" ht="20.100000000000001" customHeight="1" x14ac:dyDescent="0.25">
      <c r="A257" s="271"/>
      <c r="B257" s="222"/>
      <c r="C257" s="198"/>
      <c r="D257" s="198"/>
      <c r="E257" s="223"/>
      <c r="F257" s="33"/>
      <c r="G257" s="300"/>
      <c r="H257" s="300"/>
      <c r="I257" s="300"/>
      <c r="J257" s="300"/>
      <c r="K257" s="300"/>
      <c r="L257" s="300"/>
    </row>
    <row r="258" spans="1:15" ht="20.100000000000001" customHeight="1" x14ac:dyDescent="0.25">
      <c r="A258" s="271"/>
      <c r="B258" s="222"/>
      <c r="C258" s="198"/>
      <c r="D258" s="198"/>
      <c r="E258" s="223"/>
      <c r="F258" s="33"/>
      <c r="G258" s="300"/>
      <c r="H258" s="300"/>
      <c r="I258" s="300"/>
      <c r="J258" s="300"/>
      <c r="K258" s="300"/>
      <c r="L258" s="300"/>
    </row>
    <row r="259" spans="1:15" ht="20.100000000000001" customHeight="1" x14ac:dyDescent="0.25">
      <c r="A259" s="271"/>
      <c r="B259" s="222"/>
      <c r="C259" s="198"/>
      <c r="D259" s="198"/>
      <c r="E259" s="223"/>
      <c r="F259" s="33"/>
      <c r="G259" s="300"/>
      <c r="H259" s="300"/>
      <c r="I259" s="300"/>
      <c r="J259" s="300"/>
      <c r="K259" s="300"/>
      <c r="L259" s="300"/>
    </row>
    <row r="260" spans="1:15" s="208" customFormat="1" ht="20.100000000000001" customHeight="1" x14ac:dyDescent="0.25">
      <c r="A260" s="271"/>
      <c r="B260" s="222"/>
      <c r="C260" s="198"/>
      <c r="D260" s="198"/>
      <c r="E260" s="223"/>
      <c r="F260" s="33"/>
      <c r="G260" s="300"/>
      <c r="H260" s="300"/>
      <c r="I260" s="300"/>
      <c r="J260" s="300"/>
      <c r="K260" s="300"/>
      <c r="L260" s="300"/>
      <c r="M260" s="211"/>
      <c r="N260" s="211"/>
      <c r="O260" s="211"/>
    </row>
    <row r="261" spans="1:15" s="208" customFormat="1" ht="20.100000000000001" customHeight="1" x14ac:dyDescent="0.25">
      <c r="A261" s="271"/>
      <c r="B261" s="222"/>
      <c r="C261" s="198"/>
      <c r="D261" s="198"/>
      <c r="E261" s="223"/>
      <c r="F261" s="33"/>
      <c r="G261" s="300"/>
      <c r="H261" s="300"/>
      <c r="I261" s="300"/>
      <c r="J261" s="300"/>
      <c r="K261" s="300"/>
      <c r="L261" s="300"/>
      <c r="M261" s="211"/>
      <c r="N261" s="211"/>
      <c r="O261" s="211"/>
    </row>
    <row r="262" spans="1:15" s="208" customFormat="1" ht="20.100000000000001" customHeight="1" x14ac:dyDescent="0.25">
      <c r="A262" s="271"/>
      <c r="B262" s="222"/>
      <c r="C262" s="198"/>
      <c r="D262" s="198"/>
      <c r="E262" s="223"/>
      <c r="F262" s="33"/>
      <c r="G262" s="300"/>
      <c r="H262" s="300"/>
      <c r="I262" s="300"/>
      <c r="J262" s="300"/>
      <c r="K262" s="300"/>
      <c r="L262" s="300"/>
      <c r="M262" s="211"/>
      <c r="N262" s="211"/>
      <c r="O262" s="211"/>
    </row>
    <row r="263" spans="1:15" s="208" customFormat="1" ht="20.100000000000001" customHeight="1" x14ac:dyDescent="0.25">
      <c r="A263" s="271"/>
      <c r="B263" s="222"/>
      <c r="C263" s="198"/>
      <c r="D263" s="198"/>
      <c r="E263" s="223"/>
      <c r="F263" s="33"/>
      <c r="G263" s="300"/>
      <c r="H263" s="300"/>
      <c r="I263" s="300"/>
      <c r="J263" s="300"/>
      <c r="K263" s="300"/>
      <c r="L263" s="300"/>
      <c r="M263" s="211"/>
      <c r="N263" s="211"/>
      <c r="O263" s="211"/>
    </row>
    <row r="264" spans="1:15" s="208" customFormat="1" ht="20.100000000000001" customHeight="1" x14ac:dyDescent="0.25">
      <c r="A264" s="271"/>
      <c r="B264" s="222"/>
      <c r="C264" s="198"/>
      <c r="D264" s="198"/>
      <c r="E264" s="223"/>
      <c r="F264" s="33"/>
      <c r="G264" s="300"/>
      <c r="H264" s="300"/>
      <c r="I264" s="300"/>
      <c r="J264" s="300"/>
      <c r="K264" s="300"/>
      <c r="L264" s="300"/>
      <c r="M264" s="211"/>
      <c r="N264" s="211"/>
      <c r="O264" s="211"/>
    </row>
    <row r="265" spans="1:15" s="208" customFormat="1" ht="20.100000000000001" customHeight="1" x14ac:dyDescent="0.25">
      <c r="A265" s="271"/>
      <c r="B265" s="222"/>
      <c r="C265" s="198"/>
      <c r="D265" s="198"/>
      <c r="E265" s="223"/>
      <c r="F265" s="33"/>
      <c r="G265" s="300"/>
      <c r="H265" s="300"/>
      <c r="I265" s="300"/>
      <c r="J265" s="300"/>
      <c r="K265" s="300"/>
      <c r="L265" s="300"/>
      <c r="M265" s="210"/>
      <c r="N265" s="210"/>
      <c r="O265" s="210"/>
    </row>
    <row r="266" spans="1:15" s="208" customFormat="1" ht="45" customHeight="1" x14ac:dyDescent="0.25">
      <c r="A266" s="271"/>
      <c r="B266" s="640"/>
      <c r="C266" s="640"/>
      <c r="D266" s="640"/>
      <c r="E266" s="640"/>
      <c r="F266" s="640"/>
      <c r="G266" s="640"/>
      <c r="H266" s="640"/>
      <c r="I266" s="33"/>
      <c r="J266" s="33"/>
      <c r="K266" s="198"/>
      <c r="L266" s="272"/>
      <c r="M266" s="211"/>
      <c r="N266" s="211"/>
      <c r="O266" s="211"/>
    </row>
    <row r="267" spans="1:15" s="208" customFormat="1" ht="30" customHeight="1" x14ac:dyDescent="0.25">
      <c r="A267" s="271"/>
      <c r="B267" s="271"/>
      <c r="C267" s="271"/>
      <c r="D267" s="271"/>
      <c r="E267" s="271"/>
      <c r="F267" s="271"/>
      <c r="G267" s="271"/>
      <c r="H267" s="271"/>
      <c r="I267" s="271"/>
      <c r="J267" s="271"/>
      <c r="K267" s="271"/>
      <c r="L267" s="271"/>
      <c r="M267" s="211"/>
      <c r="N267" s="211"/>
      <c r="O267" s="211"/>
    </row>
    <row r="268" spans="1:15" s="208" customFormat="1" ht="20.100000000000001" customHeight="1" x14ac:dyDescent="0.25">
      <c r="A268" s="271"/>
      <c r="B268" s="555"/>
      <c r="C268" s="555"/>
      <c r="D268" s="555"/>
      <c r="E268" s="555"/>
      <c r="F268" s="555"/>
      <c r="G268" s="555"/>
      <c r="H268" s="555"/>
      <c r="I268" s="555"/>
      <c r="J268" s="555"/>
      <c r="K268" s="555"/>
      <c r="L268" s="555"/>
      <c r="M268" s="211"/>
      <c r="N268" s="211"/>
      <c r="O268" s="211"/>
    </row>
    <row r="269" spans="1:15" s="208" customFormat="1" ht="20.100000000000001" customHeight="1" x14ac:dyDescent="0.25">
      <c r="A269" s="271"/>
      <c r="B269" s="555"/>
      <c r="C269" s="555"/>
      <c r="D269" s="555"/>
      <c r="E269" s="555"/>
      <c r="F269" s="555"/>
      <c r="G269" s="555"/>
      <c r="H269" s="555"/>
      <c r="I269" s="555"/>
      <c r="J269" s="555"/>
      <c r="K269" s="555"/>
      <c r="L269" s="555"/>
      <c r="M269" s="211"/>
      <c r="N269" s="211"/>
      <c r="O269" s="211"/>
    </row>
    <row r="270" spans="1:15" s="208" customFormat="1" ht="20.100000000000001" customHeight="1" x14ac:dyDescent="0.25">
      <c r="A270" s="271"/>
      <c r="B270" s="537"/>
      <c r="C270" s="271"/>
      <c r="D270" s="537"/>
      <c r="E270" s="537"/>
      <c r="F270" s="537"/>
      <c r="G270" s="271"/>
      <c r="H270" s="271"/>
      <c r="I270" s="271"/>
      <c r="J270" s="537"/>
      <c r="K270" s="537"/>
      <c r="L270" s="533"/>
      <c r="M270" s="211"/>
      <c r="N270" s="211"/>
      <c r="O270" s="211"/>
    </row>
    <row r="271" spans="1:15" s="208" customFormat="1" ht="20.100000000000001" customHeight="1" x14ac:dyDescent="0.25">
      <c r="A271" s="271"/>
      <c r="B271" s="537"/>
      <c r="C271" s="271"/>
      <c r="D271" s="271"/>
      <c r="E271" s="271"/>
      <c r="F271" s="271"/>
      <c r="G271" s="271"/>
      <c r="H271" s="271"/>
      <c r="I271" s="271"/>
      <c r="J271" s="537"/>
      <c r="K271" s="537"/>
      <c r="L271" s="533"/>
      <c r="M271" s="211"/>
      <c r="N271" s="211"/>
      <c r="O271" s="211"/>
    </row>
    <row r="272" spans="1:15" s="208" customFormat="1" ht="20.100000000000001" customHeight="1" x14ac:dyDescent="0.25">
      <c r="A272" s="271"/>
      <c r="B272" s="222"/>
      <c r="C272" s="198"/>
      <c r="D272" s="198"/>
      <c r="E272" s="223"/>
      <c r="F272" s="33"/>
      <c r="G272" s="300"/>
      <c r="H272" s="300"/>
      <c r="I272" s="300"/>
      <c r="J272" s="300"/>
      <c r="K272" s="301"/>
      <c r="L272" s="300"/>
      <c r="M272" s="211"/>
      <c r="N272" s="211"/>
      <c r="O272" s="211"/>
    </row>
    <row r="273" spans="1:15" s="208" customFormat="1" ht="20.100000000000001" customHeight="1" x14ac:dyDescent="0.25">
      <c r="A273" s="271"/>
      <c r="B273" s="222"/>
      <c r="C273" s="198"/>
      <c r="D273" s="198"/>
      <c r="E273" s="223"/>
      <c r="F273" s="33"/>
      <c r="G273" s="300"/>
      <c r="H273" s="300"/>
      <c r="I273" s="300"/>
      <c r="J273" s="300"/>
      <c r="K273" s="300"/>
      <c r="L273" s="300"/>
      <c r="M273" s="211"/>
      <c r="N273" s="211"/>
      <c r="O273" s="211"/>
    </row>
    <row r="274" spans="1:15" s="208" customFormat="1" ht="20.100000000000001" customHeight="1" x14ac:dyDescent="0.25">
      <c r="A274" s="271"/>
      <c r="B274" s="222"/>
      <c r="C274" s="198"/>
      <c r="D274" s="198"/>
      <c r="E274" s="223"/>
      <c r="F274" s="33"/>
      <c r="G274" s="300"/>
      <c r="H274" s="300"/>
      <c r="I274" s="300"/>
      <c r="J274" s="300"/>
      <c r="K274" s="300"/>
      <c r="L274" s="300"/>
      <c r="M274" s="211"/>
      <c r="N274" s="211"/>
      <c r="O274" s="211"/>
    </row>
    <row r="275" spans="1:15" s="208" customFormat="1" ht="20.100000000000001" customHeight="1" x14ac:dyDescent="0.25">
      <c r="A275" s="271"/>
      <c r="B275" s="222"/>
      <c r="C275" s="198"/>
      <c r="D275" s="198"/>
      <c r="E275" s="223"/>
      <c r="F275" s="33"/>
      <c r="G275" s="300"/>
      <c r="H275" s="300"/>
      <c r="I275" s="300"/>
      <c r="J275" s="300"/>
      <c r="K275" s="300"/>
      <c r="L275" s="300"/>
      <c r="M275" s="211"/>
      <c r="N275" s="211"/>
      <c r="O275" s="211"/>
    </row>
    <row r="276" spans="1:15" s="208" customFormat="1" ht="20.100000000000001" customHeight="1" x14ac:dyDescent="0.25">
      <c r="A276" s="271"/>
      <c r="B276" s="222"/>
      <c r="C276" s="198"/>
      <c r="D276" s="198"/>
      <c r="E276" s="223"/>
      <c r="F276" s="33"/>
      <c r="G276" s="300"/>
      <c r="H276" s="300"/>
      <c r="I276" s="300"/>
      <c r="J276" s="300"/>
      <c r="K276" s="300"/>
      <c r="L276" s="300"/>
      <c r="M276" s="211"/>
      <c r="N276" s="211"/>
      <c r="O276" s="211"/>
    </row>
    <row r="277" spans="1:15" s="208" customFormat="1" ht="20.100000000000001" customHeight="1" x14ac:dyDescent="0.25">
      <c r="A277" s="271"/>
      <c r="B277" s="222"/>
      <c r="C277" s="198"/>
      <c r="D277" s="198"/>
      <c r="E277" s="223"/>
      <c r="F277" s="33"/>
      <c r="G277" s="300"/>
      <c r="H277" s="300"/>
      <c r="I277" s="300"/>
      <c r="J277" s="300"/>
      <c r="K277" s="300"/>
      <c r="L277" s="300"/>
      <c r="M277" s="211"/>
      <c r="N277" s="211"/>
      <c r="O277" s="211"/>
    </row>
    <row r="278" spans="1:15" s="208" customFormat="1" ht="20.100000000000001" customHeight="1" x14ac:dyDescent="0.25">
      <c r="A278" s="271"/>
      <c r="B278" s="222"/>
      <c r="C278" s="198"/>
      <c r="D278" s="198"/>
      <c r="E278" s="223"/>
      <c r="F278" s="33"/>
      <c r="G278" s="300"/>
      <c r="H278" s="300"/>
      <c r="I278" s="300"/>
      <c r="J278" s="300"/>
      <c r="K278" s="300"/>
      <c r="L278" s="300"/>
      <c r="M278" s="211"/>
      <c r="N278" s="211"/>
      <c r="O278" s="211"/>
    </row>
    <row r="279" spans="1:15" s="208" customFormat="1" ht="20.100000000000001" customHeight="1" x14ac:dyDescent="0.25">
      <c r="A279" s="271"/>
      <c r="B279" s="222"/>
      <c r="C279" s="198"/>
      <c r="D279" s="198"/>
      <c r="E279" s="223"/>
      <c r="F279" s="33"/>
      <c r="G279" s="300"/>
      <c r="H279" s="300"/>
      <c r="I279" s="300"/>
      <c r="J279" s="300"/>
      <c r="K279" s="300"/>
      <c r="L279" s="300"/>
      <c r="M279" s="211"/>
      <c r="N279" s="211"/>
      <c r="O279" s="211"/>
    </row>
    <row r="280" spans="1:15" s="208" customFormat="1" ht="20.100000000000001" customHeight="1" x14ac:dyDescent="0.25">
      <c r="A280" s="271"/>
      <c r="B280" s="222"/>
      <c r="C280" s="198"/>
      <c r="D280" s="198"/>
      <c r="E280" s="223"/>
      <c r="F280" s="33"/>
      <c r="G280" s="300"/>
      <c r="H280" s="300"/>
      <c r="I280" s="300"/>
      <c r="J280" s="300"/>
      <c r="K280" s="300"/>
      <c r="L280" s="300"/>
      <c r="M280" s="211"/>
      <c r="N280" s="211"/>
      <c r="O280" s="211"/>
    </row>
    <row r="281" spans="1:15" s="208" customFormat="1" ht="20.100000000000001" customHeight="1" x14ac:dyDescent="0.25">
      <c r="A281" s="271"/>
      <c r="B281" s="222"/>
      <c r="C281" s="198"/>
      <c r="D281" s="198"/>
      <c r="E281" s="223"/>
      <c r="F281" s="33"/>
      <c r="G281" s="300"/>
      <c r="H281" s="300"/>
      <c r="I281" s="300"/>
      <c r="J281" s="300"/>
      <c r="K281" s="300"/>
      <c r="L281" s="300"/>
      <c r="M281" s="211"/>
      <c r="N281" s="211"/>
      <c r="O281" s="211"/>
    </row>
    <row r="282" spans="1:15" s="208" customFormat="1" ht="20.100000000000001" customHeight="1" x14ac:dyDescent="0.25">
      <c r="A282" s="271"/>
      <c r="B282" s="222"/>
      <c r="C282" s="198"/>
      <c r="D282" s="198"/>
      <c r="E282" s="223"/>
      <c r="F282" s="33"/>
      <c r="G282" s="300"/>
      <c r="H282" s="300"/>
      <c r="I282" s="300"/>
      <c r="J282" s="300"/>
      <c r="K282" s="300"/>
      <c r="L282" s="300"/>
      <c r="M282" s="211"/>
      <c r="N282" s="211"/>
      <c r="O282" s="211"/>
    </row>
    <row r="283" spans="1:15" s="208" customFormat="1" ht="20.100000000000001" customHeight="1" x14ac:dyDescent="0.25">
      <c r="A283" s="271"/>
      <c r="B283" s="222"/>
      <c r="C283" s="198"/>
      <c r="D283" s="198"/>
      <c r="E283" s="223"/>
      <c r="F283" s="33"/>
      <c r="G283" s="300"/>
      <c r="H283" s="300"/>
      <c r="I283" s="300"/>
      <c r="J283" s="300"/>
      <c r="K283" s="300"/>
      <c r="L283" s="300"/>
      <c r="M283" s="211"/>
      <c r="N283" s="211"/>
      <c r="O283" s="211"/>
    </row>
    <row r="284" spans="1:15" s="208" customFormat="1" ht="20.100000000000001" customHeight="1" x14ac:dyDescent="0.25">
      <c r="A284" s="271"/>
      <c r="B284" s="222"/>
      <c r="C284" s="198"/>
      <c r="D284" s="198"/>
      <c r="E284" s="223"/>
      <c r="F284" s="33"/>
      <c r="G284" s="300"/>
      <c r="H284" s="300"/>
      <c r="I284" s="300"/>
      <c r="J284" s="300"/>
      <c r="K284" s="300"/>
      <c r="L284" s="300"/>
      <c r="M284" s="211"/>
      <c r="N284" s="211"/>
      <c r="O284" s="211"/>
    </row>
    <row r="285" spans="1:15" s="208" customFormat="1" ht="20.100000000000001" customHeight="1" x14ac:dyDescent="0.25">
      <c r="A285" s="271"/>
      <c r="B285" s="222"/>
      <c r="C285" s="198"/>
      <c r="D285" s="198"/>
      <c r="E285" s="223"/>
      <c r="F285" s="33"/>
      <c r="G285" s="300"/>
      <c r="H285" s="300"/>
      <c r="I285" s="300"/>
      <c r="J285" s="300"/>
      <c r="K285" s="300"/>
      <c r="L285" s="300"/>
      <c r="M285" s="211"/>
      <c r="N285" s="211"/>
      <c r="O285" s="211"/>
    </row>
    <row r="286" spans="1:15" s="208" customFormat="1" ht="20.100000000000001" customHeight="1" x14ac:dyDescent="0.25">
      <c r="A286" s="271"/>
      <c r="B286" s="222"/>
      <c r="C286" s="198"/>
      <c r="D286" s="198"/>
      <c r="E286" s="223"/>
      <c r="F286" s="33"/>
      <c r="G286" s="300"/>
      <c r="H286" s="300"/>
      <c r="I286" s="300"/>
      <c r="J286" s="300"/>
      <c r="K286" s="300"/>
      <c r="L286" s="300"/>
      <c r="M286" s="211"/>
      <c r="N286" s="211"/>
      <c r="O286" s="211"/>
    </row>
    <row r="287" spans="1:15" s="208" customFormat="1" ht="45" customHeight="1" x14ac:dyDescent="0.25">
      <c r="A287" s="271"/>
      <c r="B287" s="640"/>
      <c r="C287" s="640"/>
      <c r="D287" s="640"/>
      <c r="E287" s="640"/>
      <c r="F287" s="640"/>
      <c r="G287" s="640"/>
      <c r="H287" s="640"/>
      <c r="I287" s="33"/>
      <c r="J287" s="33"/>
      <c r="K287" s="198"/>
      <c r="L287" s="272"/>
      <c r="M287" s="211"/>
      <c r="N287" s="211"/>
      <c r="O287" s="211"/>
    </row>
    <row r="288" spans="1:15" s="208" customFormat="1" ht="30" customHeight="1" x14ac:dyDescent="0.25">
      <c r="A288" s="271"/>
      <c r="B288" s="271"/>
      <c r="C288" s="271"/>
      <c r="D288" s="271"/>
      <c r="E288" s="271"/>
      <c r="F288" s="271"/>
      <c r="G288" s="271"/>
      <c r="H288" s="271"/>
      <c r="I288" s="271"/>
      <c r="J288" s="271"/>
      <c r="K288" s="271"/>
      <c r="L288" s="271"/>
      <c r="M288" s="211"/>
      <c r="N288" s="211"/>
      <c r="O288" s="211"/>
    </row>
    <row r="289" spans="1:15" s="208" customFormat="1" ht="20.100000000000001" customHeight="1" x14ac:dyDescent="0.25">
      <c r="A289" s="271"/>
      <c r="B289" s="555"/>
      <c r="C289" s="555"/>
      <c r="D289" s="555"/>
      <c r="E289" s="555"/>
      <c r="F289" s="555"/>
      <c r="G289" s="555"/>
      <c r="H289" s="555"/>
      <c r="I289" s="555"/>
      <c r="J289" s="555"/>
      <c r="K289" s="555"/>
      <c r="L289" s="555"/>
      <c r="M289" s="211"/>
      <c r="N289" s="211"/>
      <c r="O289" s="211"/>
    </row>
    <row r="290" spans="1:15" s="208" customFormat="1" ht="20.100000000000001" customHeight="1" x14ac:dyDescent="0.25">
      <c r="A290" s="271"/>
      <c r="B290" s="555"/>
      <c r="C290" s="555"/>
      <c r="D290" s="555"/>
      <c r="E290" s="555"/>
      <c r="F290" s="555"/>
      <c r="G290" s="555"/>
      <c r="H290" s="555"/>
      <c r="I290" s="555"/>
      <c r="J290" s="555"/>
      <c r="K290" s="555"/>
      <c r="L290" s="555"/>
      <c r="M290" s="210"/>
      <c r="N290" s="210"/>
      <c r="O290" s="210"/>
    </row>
    <row r="291" spans="1:15" s="208" customFormat="1" ht="20.100000000000001" customHeight="1" x14ac:dyDescent="0.25">
      <c r="A291" s="271"/>
      <c r="B291" s="537"/>
      <c r="C291" s="271"/>
      <c r="D291" s="537"/>
      <c r="E291" s="537"/>
      <c r="F291" s="537"/>
      <c r="G291" s="271"/>
      <c r="H291" s="271"/>
      <c r="I291" s="271"/>
      <c r="J291" s="537"/>
      <c r="K291" s="537"/>
      <c r="L291" s="533"/>
      <c r="M291" s="211"/>
      <c r="N291" s="211"/>
      <c r="O291" s="211"/>
    </row>
    <row r="292" spans="1:15" ht="20.100000000000001" customHeight="1" x14ac:dyDescent="0.25">
      <c r="A292" s="271"/>
      <c r="B292" s="537"/>
      <c r="C292" s="271"/>
      <c r="D292" s="271"/>
      <c r="E292" s="271"/>
      <c r="F292" s="271"/>
      <c r="G292" s="271"/>
      <c r="H292" s="271"/>
      <c r="I292" s="271"/>
      <c r="J292" s="537"/>
      <c r="K292" s="537"/>
      <c r="L292" s="533"/>
    </row>
    <row r="293" spans="1:15" ht="20.100000000000001" customHeight="1" x14ac:dyDescent="0.25">
      <c r="A293" s="271"/>
      <c r="B293" s="222"/>
      <c r="C293" s="198"/>
      <c r="D293" s="198"/>
      <c r="E293" s="223"/>
      <c r="F293" s="33"/>
      <c r="G293" s="300"/>
      <c r="H293" s="300"/>
      <c r="I293" s="300"/>
      <c r="J293" s="300"/>
      <c r="K293" s="301"/>
      <c r="L293" s="300"/>
    </row>
    <row r="294" spans="1:15" ht="20.100000000000001" customHeight="1" x14ac:dyDescent="0.25">
      <c r="A294" s="271"/>
      <c r="B294" s="222"/>
      <c r="C294" s="198"/>
      <c r="D294" s="198"/>
      <c r="E294" s="223"/>
      <c r="F294" s="33"/>
      <c r="G294" s="300"/>
      <c r="H294" s="300"/>
      <c r="I294" s="300"/>
      <c r="J294" s="300"/>
      <c r="K294" s="300"/>
      <c r="L294" s="300"/>
    </row>
    <row r="295" spans="1:15" ht="20.100000000000001" customHeight="1" x14ac:dyDescent="0.25">
      <c r="A295" s="271"/>
      <c r="B295" s="222"/>
      <c r="C295" s="198"/>
      <c r="D295" s="198"/>
      <c r="E295" s="223"/>
      <c r="F295" s="33"/>
      <c r="G295" s="300"/>
      <c r="H295" s="300"/>
      <c r="I295" s="300"/>
      <c r="J295" s="300"/>
      <c r="K295" s="300"/>
      <c r="L295" s="300"/>
    </row>
    <row r="296" spans="1:15" ht="20.100000000000001" customHeight="1" x14ac:dyDescent="0.25">
      <c r="A296" s="271"/>
      <c r="B296" s="222"/>
      <c r="C296" s="198"/>
      <c r="D296" s="198"/>
      <c r="E296" s="223"/>
      <c r="F296" s="33"/>
      <c r="G296" s="300"/>
      <c r="H296" s="300"/>
      <c r="I296" s="300"/>
      <c r="J296" s="300"/>
      <c r="K296" s="300"/>
      <c r="L296" s="300"/>
    </row>
    <row r="297" spans="1:15" ht="20.100000000000001" customHeight="1" x14ac:dyDescent="0.25">
      <c r="A297" s="271"/>
      <c r="B297" s="222"/>
      <c r="C297" s="198"/>
      <c r="D297" s="198"/>
      <c r="E297" s="223"/>
      <c r="F297" s="33"/>
      <c r="G297" s="300"/>
      <c r="H297" s="300"/>
      <c r="I297" s="300"/>
      <c r="J297" s="300"/>
      <c r="K297" s="300"/>
      <c r="L297" s="300"/>
    </row>
    <row r="298" spans="1:15" ht="20.100000000000001" customHeight="1" x14ac:dyDescent="0.25">
      <c r="A298" s="271"/>
      <c r="B298" s="222"/>
      <c r="C298" s="198"/>
      <c r="D298" s="198"/>
      <c r="E298" s="223"/>
      <c r="F298" s="33"/>
      <c r="G298" s="300"/>
      <c r="H298" s="300"/>
      <c r="I298" s="300"/>
      <c r="J298" s="300"/>
      <c r="K298" s="300"/>
      <c r="L298" s="300"/>
    </row>
    <row r="299" spans="1:15" ht="20.100000000000001" customHeight="1" x14ac:dyDescent="0.25">
      <c r="A299" s="271"/>
      <c r="B299" s="222"/>
      <c r="C299" s="198"/>
      <c r="D299" s="198"/>
      <c r="E299" s="223"/>
      <c r="F299" s="33"/>
      <c r="G299" s="300"/>
      <c r="H299" s="300"/>
      <c r="I299" s="300"/>
      <c r="J299" s="300"/>
      <c r="K299" s="300"/>
      <c r="L299" s="300"/>
    </row>
    <row r="300" spans="1:15" ht="20.100000000000001" customHeight="1" x14ac:dyDescent="0.25">
      <c r="A300" s="271"/>
      <c r="B300" s="222"/>
      <c r="C300" s="198"/>
      <c r="D300" s="198"/>
      <c r="E300" s="223"/>
      <c r="F300" s="33"/>
      <c r="G300" s="300"/>
      <c r="H300" s="300"/>
      <c r="I300" s="300"/>
      <c r="J300" s="300"/>
      <c r="K300" s="300"/>
      <c r="L300" s="300"/>
    </row>
    <row r="301" spans="1:15" ht="20.100000000000001" customHeight="1" x14ac:dyDescent="0.25">
      <c r="A301" s="271"/>
      <c r="B301" s="222"/>
      <c r="C301" s="198"/>
      <c r="D301" s="198"/>
      <c r="E301" s="223"/>
      <c r="F301" s="33"/>
      <c r="G301" s="300"/>
      <c r="H301" s="300"/>
      <c r="I301" s="300"/>
      <c r="J301" s="300"/>
      <c r="K301" s="300"/>
      <c r="L301" s="300"/>
    </row>
    <row r="302" spans="1:15" ht="20.100000000000001" customHeight="1" x14ac:dyDescent="0.25">
      <c r="A302" s="271"/>
      <c r="B302" s="222"/>
      <c r="C302" s="198"/>
      <c r="D302" s="198"/>
      <c r="E302" s="223"/>
      <c r="F302" s="33"/>
      <c r="G302" s="300"/>
      <c r="H302" s="300"/>
      <c r="I302" s="300"/>
      <c r="J302" s="300"/>
      <c r="K302" s="300"/>
      <c r="L302" s="300"/>
    </row>
    <row r="303" spans="1:15" ht="20.100000000000001" customHeight="1" x14ac:dyDescent="0.25">
      <c r="A303" s="271"/>
      <c r="B303" s="222"/>
      <c r="C303" s="198"/>
      <c r="D303" s="198"/>
      <c r="E303" s="223"/>
      <c r="F303" s="33"/>
      <c r="G303" s="300"/>
      <c r="H303" s="300"/>
      <c r="I303" s="300"/>
      <c r="J303" s="300"/>
      <c r="K303" s="300"/>
      <c r="L303" s="300"/>
    </row>
    <row r="304" spans="1:15" ht="20.100000000000001" customHeight="1" x14ac:dyDescent="0.25">
      <c r="A304" s="271"/>
      <c r="B304" s="222"/>
      <c r="C304" s="198"/>
      <c r="D304" s="198"/>
      <c r="E304" s="223"/>
      <c r="F304" s="33"/>
      <c r="G304" s="300"/>
      <c r="H304" s="300"/>
      <c r="I304" s="300"/>
      <c r="J304" s="300"/>
      <c r="K304" s="300"/>
      <c r="L304" s="300"/>
    </row>
    <row r="305" spans="1:15" ht="20.100000000000001" customHeight="1" x14ac:dyDescent="0.25">
      <c r="A305" s="271"/>
      <c r="B305" s="222"/>
      <c r="C305" s="198"/>
      <c r="D305" s="198"/>
      <c r="E305" s="223"/>
      <c r="F305" s="33"/>
      <c r="G305" s="300"/>
      <c r="H305" s="300"/>
      <c r="I305" s="300"/>
      <c r="J305" s="300"/>
      <c r="K305" s="300"/>
      <c r="L305" s="300"/>
    </row>
    <row r="306" spans="1:15" ht="20.100000000000001" customHeight="1" x14ac:dyDescent="0.25">
      <c r="A306" s="271"/>
      <c r="B306" s="222"/>
      <c r="C306" s="198"/>
      <c r="D306" s="198"/>
      <c r="E306" s="223"/>
      <c r="F306" s="33"/>
      <c r="G306" s="300"/>
      <c r="H306" s="300"/>
      <c r="I306" s="300"/>
      <c r="J306" s="300"/>
      <c r="K306" s="300"/>
      <c r="L306" s="300"/>
    </row>
    <row r="307" spans="1:15" ht="20.100000000000001" customHeight="1" x14ac:dyDescent="0.25">
      <c r="A307" s="271"/>
      <c r="B307" s="222"/>
      <c r="C307" s="198"/>
      <c r="D307" s="198"/>
      <c r="E307" s="223"/>
      <c r="F307" s="33"/>
      <c r="G307" s="300"/>
      <c r="H307" s="300"/>
      <c r="I307" s="300"/>
      <c r="J307" s="300"/>
      <c r="K307" s="300"/>
      <c r="L307" s="300"/>
    </row>
    <row r="308" spans="1:15" s="208" customFormat="1" ht="45" customHeight="1" x14ac:dyDescent="0.25">
      <c r="A308" s="271"/>
      <c r="B308" s="640"/>
      <c r="C308" s="640"/>
      <c r="D308" s="640"/>
      <c r="E308" s="640"/>
      <c r="F308" s="640"/>
      <c r="G308" s="640"/>
      <c r="H308" s="640"/>
      <c r="I308" s="33"/>
      <c r="J308" s="33"/>
      <c r="K308" s="198"/>
      <c r="L308" s="272"/>
      <c r="M308" s="211"/>
      <c r="N308" s="211"/>
      <c r="O308" s="211"/>
    </row>
    <row r="309" spans="1:15" s="208" customFormat="1" ht="30" customHeight="1" x14ac:dyDescent="0.25">
      <c r="A309" s="271"/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  <c r="M309" s="211"/>
      <c r="N309" s="211"/>
      <c r="O309" s="211"/>
    </row>
    <row r="310" spans="1:15" s="208" customFormat="1" ht="20.100000000000001" customHeight="1" x14ac:dyDescent="0.25">
      <c r="A310" s="271"/>
      <c r="B310" s="555"/>
      <c r="C310" s="555"/>
      <c r="D310" s="555"/>
      <c r="E310" s="555"/>
      <c r="F310" s="555"/>
      <c r="G310" s="555"/>
      <c r="H310" s="555"/>
      <c r="I310" s="555"/>
      <c r="J310" s="555"/>
      <c r="K310" s="555"/>
      <c r="L310" s="555"/>
      <c r="M310" s="211"/>
      <c r="N310" s="211"/>
      <c r="O310" s="211"/>
    </row>
    <row r="311" spans="1:15" s="208" customFormat="1" ht="20.100000000000001" customHeight="1" x14ac:dyDescent="0.25">
      <c r="A311" s="271"/>
      <c r="B311" s="555"/>
      <c r="C311" s="555"/>
      <c r="D311" s="555"/>
      <c r="E311" s="555"/>
      <c r="F311" s="555"/>
      <c r="G311" s="555"/>
      <c r="H311" s="555"/>
      <c r="I311" s="555"/>
      <c r="J311" s="555"/>
      <c r="K311" s="555"/>
      <c r="L311" s="555"/>
      <c r="M311" s="211"/>
      <c r="N311" s="211"/>
      <c r="O311" s="211"/>
    </row>
    <row r="312" spans="1:15" s="208" customFormat="1" ht="20.100000000000001" customHeight="1" x14ac:dyDescent="0.25">
      <c r="A312" s="271"/>
      <c r="B312" s="537"/>
      <c r="C312" s="271"/>
      <c r="D312" s="537"/>
      <c r="E312" s="537"/>
      <c r="F312" s="537"/>
      <c r="G312" s="271"/>
      <c r="H312" s="271"/>
      <c r="I312" s="271"/>
      <c r="J312" s="537"/>
      <c r="K312" s="537"/>
      <c r="L312" s="533"/>
      <c r="M312" s="211"/>
      <c r="N312" s="211"/>
      <c r="O312" s="211"/>
    </row>
    <row r="313" spans="1:15" s="208" customFormat="1" ht="20.100000000000001" customHeight="1" x14ac:dyDescent="0.25">
      <c r="A313" s="271"/>
      <c r="B313" s="537"/>
      <c r="C313" s="271"/>
      <c r="D313" s="271"/>
      <c r="E313" s="271"/>
      <c r="F313" s="271"/>
      <c r="G313" s="271"/>
      <c r="H313" s="271"/>
      <c r="I313" s="271"/>
      <c r="J313" s="537"/>
      <c r="K313" s="537"/>
      <c r="L313" s="533"/>
      <c r="M313" s="211"/>
      <c r="N313" s="211"/>
      <c r="O313" s="211"/>
    </row>
    <row r="314" spans="1:15" s="208" customFormat="1" ht="20.100000000000001" customHeight="1" x14ac:dyDescent="0.25">
      <c r="A314" s="271"/>
      <c r="B314" s="222"/>
      <c r="C314" s="198"/>
      <c r="D314" s="198"/>
      <c r="E314" s="223"/>
      <c r="F314" s="33"/>
      <c r="G314" s="300"/>
      <c r="H314" s="300"/>
      <c r="I314" s="300"/>
      <c r="J314" s="300"/>
      <c r="K314" s="301"/>
      <c r="L314" s="300"/>
      <c r="M314" s="211"/>
      <c r="N314" s="211"/>
      <c r="O314" s="211"/>
    </row>
    <row r="315" spans="1:15" s="208" customFormat="1" ht="20.100000000000001" customHeight="1" x14ac:dyDescent="0.25">
      <c r="A315" s="271"/>
      <c r="B315" s="222"/>
      <c r="C315" s="198"/>
      <c r="D315" s="198"/>
      <c r="E315" s="223"/>
      <c r="F315" s="33"/>
      <c r="G315" s="300"/>
      <c r="H315" s="300"/>
      <c r="I315" s="300"/>
      <c r="J315" s="300"/>
      <c r="K315" s="300"/>
      <c r="L315" s="300"/>
      <c r="M315" s="210"/>
      <c r="N315" s="210"/>
      <c r="O315" s="210"/>
    </row>
    <row r="316" spans="1:15" s="208" customFormat="1" ht="20.100000000000001" customHeight="1" x14ac:dyDescent="0.25">
      <c r="A316" s="271"/>
      <c r="B316" s="222"/>
      <c r="C316" s="198"/>
      <c r="D316" s="198"/>
      <c r="E316" s="223"/>
      <c r="F316" s="33"/>
      <c r="G316" s="300"/>
      <c r="H316" s="300"/>
      <c r="I316" s="300"/>
      <c r="J316" s="300"/>
      <c r="K316" s="300"/>
      <c r="L316" s="300"/>
      <c r="M316" s="211"/>
      <c r="N316" s="211"/>
      <c r="O316" s="211"/>
    </row>
    <row r="317" spans="1:15" s="208" customFormat="1" ht="20.100000000000001" customHeight="1" x14ac:dyDescent="0.25">
      <c r="A317" s="271"/>
      <c r="B317" s="222"/>
      <c r="C317" s="198"/>
      <c r="D317" s="198"/>
      <c r="E317" s="223"/>
      <c r="F317" s="33"/>
      <c r="G317" s="300"/>
      <c r="H317" s="300"/>
      <c r="I317" s="300"/>
      <c r="J317" s="300"/>
      <c r="K317" s="300"/>
      <c r="L317" s="300"/>
      <c r="M317" s="211"/>
      <c r="N317" s="211"/>
      <c r="O317" s="211"/>
    </row>
    <row r="318" spans="1:15" s="208" customFormat="1" ht="20.100000000000001" customHeight="1" x14ac:dyDescent="0.25">
      <c r="A318" s="271"/>
      <c r="B318" s="222"/>
      <c r="C318" s="198"/>
      <c r="D318" s="198"/>
      <c r="E318" s="223"/>
      <c r="F318" s="33"/>
      <c r="G318" s="300"/>
      <c r="H318" s="300"/>
      <c r="I318" s="300"/>
      <c r="J318" s="300"/>
      <c r="K318" s="300"/>
      <c r="L318" s="300"/>
      <c r="M318" s="211"/>
      <c r="N318" s="211"/>
      <c r="O318" s="211"/>
    </row>
    <row r="319" spans="1:15" s="208" customFormat="1" ht="20.100000000000001" customHeight="1" x14ac:dyDescent="0.25">
      <c r="A319" s="271"/>
      <c r="B319" s="222"/>
      <c r="C319" s="198"/>
      <c r="D319" s="198"/>
      <c r="E319" s="223"/>
      <c r="F319" s="33"/>
      <c r="G319" s="300"/>
      <c r="H319" s="300"/>
      <c r="I319" s="300"/>
      <c r="J319" s="300"/>
      <c r="K319" s="300"/>
      <c r="L319" s="300"/>
      <c r="M319" s="211"/>
      <c r="N319" s="211"/>
      <c r="O319" s="211"/>
    </row>
    <row r="320" spans="1:15" s="208" customFormat="1" ht="20.100000000000001" customHeight="1" x14ac:dyDescent="0.25">
      <c r="A320" s="271"/>
      <c r="B320" s="222"/>
      <c r="C320" s="198"/>
      <c r="D320" s="198"/>
      <c r="E320" s="223"/>
      <c r="F320" s="33"/>
      <c r="G320" s="300"/>
      <c r="H320" s="300"/>
      <c r="I320" s="300"/>
      <c r="J320" s="300"/>
      <c r="K320" s="300"/>
      <c r="L320" s="300"/>
      <c r="M320" s="211"/>
      <c r="N320" s="211"/>
      <c r="O320" s="211"/>
    </row>
    <row r="321" spans="1:15" s="208" customFormat="1" ht="20.100000000000001" customHeight="1" x14ac:dyDescent="0.25">
      <c r="A321" s="271"/>
      <c r="B321" s="222"/>
      <c r="C321" s="198"/>
      <c r="D321" s="198"/>
      <c r="E321" s="223"/>
      <c r="F321" s="33"/>
      <c r="G321" s="300"/>
      <c r="H321" s="300"/>
      <c r="I321" s="300"/>
      <c r="J321" s="300"/>
      <c r="K321" s="300"/>
      <c r="L321" s="300"/>
      <c r="M321" s="211"/>
      <c r="N321" s="211"/>
      <c r="O321" s="211"/>
    </row>
    <row r="322" spans="1:15" s="208" customFormat="1" ht="20.100000000000001" customHeight="1" x14ac:dyDescent="0.25">
      <c r="A322" s="271"/>
      <c r="B322" s="222"/>
      <c r="C322" s="198"/>
      <c r="D322" s="198"/>
      <c r="E322" s="223"/>
      <c r="F322" s="33"/>
      <c r="G322" s="300"/>
      <c r="H322" s="300"/>
      <c r="I322" s="300"/>
      <c r="J322" s="300"/>
      <c r="K322" s="300"/>
      <c r="L322" s="300"/>
      <c r="M322" s="211"/>
      <c r="N322" s="211"/>
      <c r="O322" s="211"/>
    </row>
    <row r="323" spans="1:15" s="208" customFormat="1" ht="20.100000000000001" customHeight="1" x14ac:dyDescent="0.25">
      <c r="A323" s="271"/>
      <c r="B323" s="222"/>
      <c r="C323" s="198"/>
      <c r="D323" s="198"/>
      <c r="E323" s="223"/>
      <c r="F323" s="33"/>
      <c r="G323" s="300"/>
      <c r="H323" s="300"/>
      <c r="I323" s="300"/>
      <c r="J323" s="300"/>
      <c r="K323" s="300"/>
      <c r="L323" s="300"/>
      <c r="M323" s="211"/>
      <c r="N323" s="211"/>
      <c r="O323" s="211"/>
    </row>
    <row r="324" spans="1:15" ht="20.100000000000001" customHeight="1" x14ac:dyDescent="0.25">
      <c r="A324" s="271"/>
      <c r="B324" s="222"/>
      <c r="C324" s="198"/>
      <c r="D324" s="198"/>
      <c r="E324" s="223"/>
      <c r="F324" s="33"/>
      <c r="G324" s="300"/>
      <c r="H324" s="300"/>
      <c r="I324" s="300"/>
      <c r="J324" s="300"/>
      <c r="K324" s="300"/>
      <c r="L324" s="300"/>
    </row>
    <row r="325" spans="1:15" ht="20.100000000000001" customHeight="1" x14ac:dyDescent="0.25">
      <c r="A325" s="271"/>
      <c r="B325" s="222"/>
      <c r="C325" s="198"/>
      <c r="D325" s="198"/>
      <c r="E325" s="223"/>
      <c r="F325" s="33"/>
      <c r="G325" s="300"/>
      <c r="H325" s="300"/>
      <c r="I325" s="300"/>
      <c r="J325" s="300"/>
      <c r="K325" s="300"/>
      <c r="L325" s="300"/>
    </row>
    <row r="326" spans="1:15" ht="20.100000000000001" customHeight="1" x14ac:dyDescent="0.25">
      <c r="A326" s="271"/>
      <c r="B326" s="222"/>
      <c r="C326" s="198"/>
      <c r="D326" s="198"/>
      <c r="E326" s="223"/>
      <c r="F326" s="33"/>
      <c r="G326" s="300"/>
      <c r="H326" s="300"/>
      <c r="I326" s="300"/>
      <c r="J326" s="300"/>
      <c r="K326" s="300"/>
      <c r="L326" s="300"/>
    </row>
    <row r="327" spans="1:15" ht="20.100000000000001" customHeight="1" x14ac:dyDescent="0.25">
      <c r="A327" s="271"/>
      <c r="B327" s="222"/>
      <c r="C327" s="198"/>
      <c r="D327" s="198"/>
      <c r="E327" s="223"/>
      <c r="F327" s="33"/>
      <c r="G327" s="300"/>
      <c r="H327" s="300"/>
      <c r="I327" s="300"/>
      <c r="J327" s="300"/>
      <c r="K327" s="300"/>
      <c r="L327" s="300"/>
    </row>
    <row r="328" spans="1:15" ht="20.100000000000001" customHeight="1" x14ac:dyDescent="0.25">
      <c r="A328" s="271"/>
      <c r="B328" s="222"/>
      <c r="C328" s="198"/>
      <c r="D328" s="198"/>
      <c r="E328" s="223"/>
      <c r="F328" s="33"/>
      <c r="G328" s="300"/>
      <c r="H328" s="300"/>
      <c r="I328" s="300"/>
      <c r="J328" s="300"/>
      <c r="K328" s="300"/>
      <c r="L328" s="300"/>
    </row>
    <row r="329" spans="1:15" ht="45" customHeight="1" x14ac:dyDescent="0.25">
      <c r="A329" s="271"/>
      <c r="B329" s="640"/>
      <c r="C329" s="640"/>
      <c r="D329" s="640"/>
      <c r="E329" s="640"/>
      <c r="F329" s="640"/>
      <c r="G329" s="640"/>
      <c r="H329" s="640"/>
      <c r="I329" s="33"/>
      <c r="J329" s="33"/>
      <c r="K329" s="198"/>
      <c r="L329" s="272"/>
    </row>
    <row r="330" spans="1:15" ht="30" customHeight="1" x14ac:dyDescent="0.25">
      <c r="A330" s="271"/>
      <c r="B330" s="271"/>
      <c r="C330" s="271"/>
      <c r="D330" s="271"/>
      <c r="E330" s="271"/>
      <c r="F330" s="271"/>
      <c r="G330" s="271"/>
      <c r="H330" s="271"/>
      <c r="I330" s="271"/>
      <c r="J330" s="271"/>
      <c r="K330" s="271"/>
      <c r="L330" s="271"/>
    </row>
    <row r="331" spans="1:15" ht="20.100000000000001" customHeight="1" x14ac:dyDescent="0.25">
      <c r="A331" s="271"/>
      <c r="B331" s="555"/>
      <c r="C331" s="555"/>
      <c r="D331" s="555"/>
      <c r="E331" s="555"/>
      <c r="F331" s="555"/>
      <c r="G331" s="555"/>
      <c r="H331" s="555"/>
      <c r="I331" s="555"/>
      <c r="J331" s="555"/>
      <c r="K331" s="555"/>
      <c r="L331" s="555"/>
    </row>
    <row r="332" spans="1:15" ht="20.100000000000001" customHeight="1" x14ac:dyDescent="0.25">
      <c r="A332" s="271"/>
      <c r="B332" s="555"/>
      <c r="C332" s="555"/>
      <c r="D332" s="555"/>
      <c r="E332" s="555"/>
      <c r="F332" s="555"/>
      <c r="G332" s="555"/>
      <c r="H332" s="555"/>
      <c r="I332" s="555"/>
      <c r="J332" s="555"/>
      <c r="K332" s="555"/>
      <c r="L332" s="555"/>
    </row>
    <row r="333" spans="1:15" ht="20.100000000000001" customHeight="1" x14ac:dyDescent="0.25">
      <c r="A333" s="271"/>
      <c r="B333" s="537"/>
      <c r="C333" s="271"/>
      <c r="D333" s="537"/>
      <c r="E333" s="537"/>
      <c r="F333" s="537"/>
      <c r="G333" s="271"/>
      <c r="H333" s="271"/>
      <c r="I333" s="271"/>
      <c r="J333" s="537"/>
      <c r="K333" s="537"/>
      <c r="L333" s="533"/>
    </row>
    <row r="334" spans="1:15" ht="20.100000000000001" customHeight="1" x14ac:dyDescent="0.25">
      <c r="A334" s="271"/>
      <c r="B334" s="537"/>
      <c r="C334" s="271"/>
      <c r="D334" s="271"/>
      <c r="E334" s="271"/>
      <c r="F334" s="271"/>
      <c r="G334" s="271"/>
      <c r="H334" s="271"/>
      <c r="I334" s="271"/>
      <c r="J334" s="537"/>
      <c r="K334" s="537"/>
      <c r="L334" s="533"/>
    </row>
    <row r="335" spans="1:15" ht="20.100000000000001" customHeight="1" x14ac:dyDescent="0.25">
      <c r="A335" s="271"/>
      <c r="B335" s="222"/>
      <c r="C335" s="198"/>
      <c r="D335" s="198"/>
      <c r="E335" s="223"/>
      <c r="F335" s="33"/>
      <c r="G335" s="300"/>
      <c r="H335" s="300"/>
      <c r="I335" s="300"/>
      <c r="J335" s="300"/>
      <c r="K335" s="301"/>
      <c r="L335" s="300"/>
    </row>
    <row r="336" spans="1:15" ht="20.100000000000001" customHeight="1" x14ac:dyDescent="0.25">
      <c r="A336" s="271"/>
      <c r="B336" s="222"/>
      <c r="C336" s="198"/>
      <c r="D336" s="198"/>
      <c r="E336" s="223"/>
      <c r="F336" s="33"/>
      <c r="G336" s="300"/>
      <c r="H336" s="300"/>
      <c r="I336" s="300"/>
      <c r="J336" s="300"/>
      <c r="K336" s="300"/>
      <c r="L336" s="300"/>
    </row>
    <row r="337" spans="1:15" ht="20.100000000000001" customHeight="1" x14ac:dyDescent="0.25">
      <c r="A337" s="271"/>
      <c r="B337" s="222"/>
      <c r="C337" s="198"/>
      <c r="D337" s="198"/>
      <c r="E337" s="223"/>
      <c r="F337" s="33"/>
      <c r="G337" s="300"/>
      <c r="H337" s="300"/>
      <c r="I337" s="300"/>
      <c r="J337" s="300"/>
      <c r="K337" s="300"/>
      <c r="L337" s="300"/>
    </row>
    <row r="338" spans="1:15" ht="20.100000000000001" customHeight="1" x14ac:dyDescent="0.25">
      <c r="A338" s="271"/>
      <c r="B338" s="222"/>
      <c r="C338" s="198"/>
      <c r="D338" s="198"/>
      <c r="E338" s="223"/>
      <c r="F338" s="33"/>
      <c r="G338" s="300"/>
      <c r="H338" s="300"/>
      <c r="I338" s="300"/>
      <c r="J338" s="300"/>
      <c r="K338" s="300"/>
      <c r="L338" s="300"/>
    </row>
    <row r="339" spans="1:15" ht="20.100000000000001" customHeight="1" x14ac:dyDescent="0.25">
      <c r="A339" s="271"/>
      <c r="B339" s="222"/>
      <c r="C339" s="198"/>
      <c r="D339" s="198"/>
      <c r="E339" s="223"/>
      <c r="F339" s="33"/>
      <c r="G339" s="300"/>
      <c r="H339" s="300"/>
      <c r="I339" s="300"/>
      <c r="J339" s="300"/>
      <c r="K339" s="300"/>
      <c r="L339" s="300"/>
    </row>
    <row r="340" spans="1:15" s="208" customFormat="1" ht="20.100000000000001" customHeight="1" x14ac:dyDescent="0.25">
      <c r="A340" s="271"/>
      <c r="B340" s="222"/>
      <c r="C340" s="198"/>
      <c r="D340" s="198"/>
      <c r="E340" s="223"/>
      <c r="F340" s="33"/>
      <c r="G340" s="300"/>
      <c r="H340" s="300"/>
      <c r="I340" s="300"/>
      <c r="J340" s="300"/>
      <c r="K340" s="300"/>
      <c r="L340" s="300"/>
      <c r="M340" s="210"/>
      <c r="N340" s="210"/>
      <c r="O340" s="210"/>
    </row>
    <row r="341" spans="1:15" s="208" customFormat="1" ht="20.100000000000001" customHeight="1" x14ac:dyDescent="0.25">
      <c r="A341" s="271"/>
      <c r="B341" s="222"/>
      <c r="C341" s="198"/>
      <c r="D341" s="198"/>
      <c r="E341" s="223"/>
      <c r="F341" s="33"/>
      <c r="G341" s="300"/>
      <c r="H341" s="300"/>
      <c r="I341" s="300"/>
      <c r="J341" s="300"/>
      <c r="K341" s="300"/>
      <c r="L341" s="300"/>
      <c r="M341" s="211"/>
      <c r="N341" s="211"/>
      <c r="O341" s="211"/>
    </row>
    <row r="342" spans="1:15" s="208" customFormat="1" ht="20.100000000000001" customHeight="1" x14ac:dyDescent="0.25">
      <c r="A342" s="271"/>
      <c r="B342" s="222"/>
      <c r="C342" s="198"/>
      <c r="D342" s="198"/>
      <c r="E342" s="223"/>
      <c r="F342" s="33"/>
      <c r="G342" s="300"/>
      <c r="H342" s="300"/>
      <c r="I342" s="300"/>
      <c r="J342" s="300"/>
      <c r="K342" s="300"/>
      <c r="L342" s="300"/>
      <c r="M342" s="211"/>
      <c r="N342" s="211"/>
      <c r="O342" s="211"/>
    </row>
    <row r="343" spans="1:15" s="208" customFormat="1" ht="20.100000000000001" customHeight="1" x14ac:dyDescent="0.25">
      <c r="A343" s="271"/>
      <c r="B343" s="222"/>
      <c r="C343" s="198"/>
      <c r="D343" s="198"/>
      <c r="E343" s="223"/>
      <c r="F343" s="33"/>
      <c r="G343" s="300"/>
      <c r="H343" s="300"/>
      <c r="I343" s="300"/>
      <c r="J343" s="300"/>
      <c r="K343" s="300"/>
      <c r="L343" s="300"/>
      <c r="M343" s="211"/>
      <c r="N343" s="211"/>
      <c r="O343" s="211"/>
    </row>
    <row r="344" spans="1:15" s="208" customFormat="1" ht="20.100000000000001" customHeight="1" x14ac:dyDescent="0.25">
      <c r="A344" s="271"/>
      <c r="B344" s="222"/>
      <c r="C344" s="198"/>
      <c r="D344" s="198"/>
      <c r="E344" s="223"/>
      <c r="F344" s="33"/>
      <c r="G344" s="300"/>
      <c r="H344" s="300"/>
      <c r="I344" s="300"/>
      <c r="J344" s="300"/>
      <c r="K344" s="300"/>
      <c r="L344" s="300"/>
      <c r="M344" s="211"/>
      <c r="N344" s="211"/>
      <c r="O344" s="211"/>
    </row>
    <row r="345" spans="1:15" s="208" customFormat="1" ht="20.100000000000001" customHeight="1" x14ac:dyDescent="0.25">
      <c r="A345" s="271"/>
      <c r="B345" s="222"/>
      <c r="C345" s="198"/>
      <c r="D345" s="198"/>
      <c r="E345" s="223"/>
      <c r="F345" s="33"/>
      <c r="G345" s="300"/>
      <c r="H345" s="300"/>
      <c r="I345" s="300"/>
      <c r="J345" s="300"/>
      <c r="K345" s="300"/>
      <c r="L345" s="300"/>
      <c r="M345" s="211"/>
      <c r="N345" s="211"/>
      <c r="O345" s="211"/>
    </row>
    <row r="346" spans="1:15" s="208" customFormat="1" ht="20.100000000000001" customHeight="1" x14ac:dyDescent="0.25">
      <c r="A346" s="271"/>
      <c r="B346" s="222"/>
      <c r="C346" s="198"/>
      <c r="D346" s="198"/>
      <c r="E346" s="223"/>
      <c r="F346" s="33"/>
      <c r="G346" s="300"/>
      <c r="H346" s="300"/>
      <c r="I346" s="300"/>
      <c r="J346" s="300"/>
      <c r="K346" s="300"/>
      <c r="L346" s="300"/>
      <c r="M346" s="211"/>
      <c r="N346" s="211"/>
      <c r="O346" s="211"/>
    </row>
    <row r="347" spans="1:15" s="208" customFormat="1" ht="20.100000000000001" customHeight="1" x14ac:dyDescent="0.25">
      <c r="A347" s="271"/>
      <c r="B347" s="222"/>
      <c r="C347" s="198"/>
      <c r="D347" s="198"/>
      <c r="E347" s="223"/>
      <c r="F347" s="33"/>
      <c r="G347" s="300"/>
      <c r="H347" s="300"/>
      <c r="I347" s="300"/>
      <c r="J347" s="300"/>
      <c r="K347" s="300"/>
      <c r="L347" s="300"/>
      <c r="M347" s="211"/>
      <c r="N347" s="211"/>
      <c r="O347" s="211"/>
    </row>
    <row r="348" spans="1:15" s="208" customFormat="1" ht="20.100000000000001" customHeight="1" x14ac:dyDescent="0.25">
      <c r="A348" s="271"/>
      <c r="B348" s="222"/>
      <c r="C348" s="198"/>
      <c r="D348" s="198"/>
      <c r="E348" s="223"/>
      <c r="F348" s="33"/>
      <c r="G348" s="300"/>
      <c r="H348" s="300"/>
      <c r="I348" s="300"/>
      <c r="J348" s="300"/>
      <c r="K348" s="300"/>
      <c r="L348" s="300"/>
      <c r="M348" s="211"/>
      <c r="N348" s="211"/>
      <c r="O348" s="211"/>
    </row>
    <row r="349" spans="1:15" s="208" customFormat="1" ht="20.100000000000001" customHeight="1" x14ac:dyDescent="0.25">
      <c r="A349" s="271"/>
      <c r="B349" s="222"/>
      <c r="C349" s="198"/>
      <c r="D349" s="198"/>
      <c r="E349" s="223"/>
      <c r="F349" s="33"/>
      <c r="G349" s="300"/>
      <c r="H349" s="300"/>
      <c r="I349" s="300"/>
      <c r="J349" s="300"/>
      <c r="K349" s="300"/>
      <c r="L349" s="300"/>
      <c r="M349" s="211"/>
      <c r="N349" s="211"/>
      <c r="O349" s="211"/>
    </row>
    <row r="350" spans="1:15" s="208" customFormat="1" ht="45" customHeight="1" x14ac:dyDescent="0.25">
      <c r="A350" s="271"/>
      <c r="B350" s="640"/>
      <c r="C350" s="640"/>
      <c r="D350" s="640"/>
      <c r="E350" s="640"/>
      <c r="F350" s="640"/>
      <c r="G350" s="640"/>
      <c r="H350" s="640"/>
      <c r="I350" s="33"/>
      <c r="J350" s="33"/>
      <c r="K350" s="198"/>
      <c r="L350" s="272"/>
      <c r="M350" s="211"/>
      <c r="N350" s="211"/>
      <c r="O350" s="211"/>
    </row>
    <row r="351" spans="1:15" s="208" customFormat="1" ht="30" customHeight="1" x14ac:dyDescent="0.25">
      <c r="A351" s="271"/>
      <c r="B351" s="271"/>
      <c r="C351" s="271"/>
      <c r="D351" s="271"/>
      <c r="E351" s="271"/>
      <c r="F351" s="271"/>
      <c r="G351" s="271"/>
      <c r="H351" s="271"/>
      <c r="I351" s="271"/>
      <c r="J351" s="271"/>
      <c r="K351" s="271"/>
      <c r="L351" s="271"/>
      <c r="M351" s="211"/>
      <c r="N351" s="211"/>
      <c r="O351" s="211"/>
    </row>
    <row r="352" spans="1:15" s="208" customFormat="1" ht="20.100000000000001" customHeight="1" x14ac:dyDescent="0.25">
      <c r="A352" s="271"/>
      <c r="B352" s="555"/>
      <c r="C352" s="555"/>
      <c r="D352" s="555"/>
      <c r="E352" s="555"/>
      <c r="F352" s="555"/>
      <c r="G352" s="555"/>
      <c r="H352" s="555"/>
      <c r="I352" s="555"/>
      <c r="J352" s="555"/>
      <c r="K352" s="555"/>
      <c r="L352" s="555"/>
      <c r="M352" s="211"/>
      <c r="N352" s="211"/>
      <c r="O352" s="211"/>
    </row>
    <row r="353" spans="1:15" s="208" customFormat="1" ht="20.100000000000001" customHeight="1" x14ac:dyDescent="0.25">
      <c r="A353" s="271"/>
      <c r="B353" s="555"/>
      <c r="C353" s="555"/>
      <c r="D353" s="555"/>
      <c r="E353" s="555"/>
      <c r="F353" s="555"/>
      <c r="G353" s="555"/>
      <c r="H353" s="555"/>
      <c r="I353" s="555"/>
      <c r="J353" s="555"/>
      <c r="K353" s="555"/>
      <c r="L353" s="555"/>
      <c r="M353" s="211"/>
      <c r="N353" s="211"/>
      <c r="O353" s="211"/>
    </row>
    <row r="354" spans="1:15" s="208" customFormat="1" ht="20.100000000000001" customHeight="1" x14ac:dyDescent="0.25">
      <c r="A354" s="271"/>
      <c r="B354" s="537"/>
      <c r="C354" s="271"/>
      <c r="D354" s="537"/>
      <c r="E354" s="537"/>
      <c r="F354" s="537"/>
      <c r="G354" s="271"/>
      <c r="H354" s="271"/>
      <c r="I354" s="271"/>
      <c r="J354" s="537"/>
      <c r="K354" s="537"/>
      <c r="L354" s="533"/>
      <c r="M354" s="211"/>
      <c r="N354" s="211"/>
      <c r="O354" s="211"/>
    </row>
    <row r="355" spans="1:15" s="208" customFormat="1" ht="20.100000000000001" customHeight="1" x14ac:dyDescent="0.25">
      <c r="A355" s="271"/>
      <c r="B355" s="537"/>
      <c r="C355" s="271"/>
      <c r="D355" s="271"/>
      <c r="E355" s="271"/>
      <c r="F355" s="271"/>
      <c r="G355" s="271"/>
      <c r="H355" s="271"/>
      <c r="I355" s="271"/>
      <c r="J355" s="537"/>
      <c r="K355" s="537"/>
      <c r="L355" s="533"/>
      <c r="M355" s="211"/>
      <c r="N355" s="211"/>
      <c r="O355" s="211"/>
    </row>
    <row r="356" spans="1:15" s="208" customFormat="1" ht="20.100000000000001" customHeight="1" x14ac:dyDescent="0.25">
      <c r="A356" s="271"/>
      <c r="B356" s="222"/>
      <c r="C356" s="198"/>
      <c r="D356" s="198"/>
      <c r="E356" s="223"/>
      <c r="F356" s="33"/>
      <c r="G356" s="300"/>
      <c r="H356" s="300"/>
      <c r="I356" s="300"/>
      <c r="J356" s="300"/>
      <c r="K356" s="301"/>
      <c r="L356" s="300"/>
      <c r="M356" s="211"/>
      <c r="N356" s="211"/>
      <c r="O356" s="211"/>
    </row>
    <row r="357" spans="1:15" s="208" customFormat="1" ht="20.100000000000001" customHeight="1" x14ac:dyDescent="0.25">
      <c r="A357" s="271"/>
      <c r="B357" s="222"/>
      <c r="C357" s="198"/>
      <c r="D357" s="198"/>
      <c r="E357" s="223"/>
      <c r="F357" s="33"/>
      <c r="G357" s="300"/>
      <c r="H357" s="300"/>
      <c r="I357" s="300"/>
      <c r="J357" s="300"/>
      <c r="K357" s="300"/>
      <c r="L357" s="300"/>
      <c r="M357" s="211"/>
      <c r="N357" s="211"/>
      <c r="O357" s="211"/>
    </row>
    <row r="358" spans="1:15" s="208" customFormat="1" ht="20.100000000000001" customHeight="1" x14ac:dyDescent="0.25">
      <c r="A358" s="271"/>
      <c r="B358" s="222"/>
      <c r="C358" s="198"/>
      <c r="D358" s="198"/>
      <c r="E358" s="223"/>
      <c r="F358" s="33"/>
      <c r="G358" s="300"/>
      <c r="H358" s="300"/>
      <c r="I358" s="300"/>
      <c r="J358" s="300"/>
      <c r="K358" s="300"/>
      <c r="L358" s="300"/>
      <c r="M358" s="211"/>
      <c r="N358" s="211"/>
      <c r="O358" s="211"/>
    </row>
    <row r="359" spans="1:15" s="208" customFormat="1" ht="20.100000000000001" customHeight="1" x14ac:dyDescent="0.25">
      <c r="A359" s="271"/>
      <c r="B359" s="222"/>
      <c r="C359" s="198"/>
      <c r="D359" s="198"/>
      <c r="E359" s="223"/>
      <c r="F359" s="33"/>
      <c r="G359" s="300"/>
      <c r="H359" s="300"/>
      <c r="I359" s="300"/>
      <c r="J359" s="300"/>
      <c r="K359" s="300"/>
      <c r="L359" s="300"/>
      <c r="M359" s="211"/>
      <c r="N359" s="211"/>
      <c r="O359" s="211"/>
    </row>
    <row r="360" spans="1:15" s="208" customFormat="1" ht="20.100000000000001" customHeight="1" x14ac:dyDescent="0.25">
      <c r="A360" s="271"/>
      <c r="B360" s="222"/>
      <c r="C360" s="198"/>
      <c r="D360" s="198"/>
      <c r="E360" s="223"/>
      <c r="F360" s="33"/>
      <c r="G360" s="300"/>
      <c r="H360" s="300"/>
      <c r="I360" s="300"/>
      <c r="J360" s="300"/>
      <c r="K360" s="300"/>
      <c r="L360" s="300"/>
      <c r="M360" s="211"/>
      <c r="N360" s="211"/>
      <c r="O360" s="211"/>
    </row>
    <row r="361" spans="1:15" s="208" customFormat="1" ht="20.100000000000001" customHeight="1" x14ac:dyDescent="0.25">
      <c r="A361" s="271"/>
      <c r="B361" s="222"/>
      <c r="C361" s="198"/>
      <c r="D361" s="198"/>
      <c r="E361" s="223"/>
      <c r="F361" s="33"/>
      <c r="G361" s="300"/>
      <c r="H361" s="300"/>
      <c r="I361" s="300"/>
      <c r="J361" s="300"/>
      <c r="K361" s="300"/>
      <c r="L361" s="300"/>
      <c r="M361" s="211"/>
      <c r="N361" s="211"/>
      <c r="O361" s="211"/>
    </row>
    <row r="362" spans="1:15" s="208" customFormat="1" ht="20.100000000000001" customHeight="1" x14ac:dyDescent="0.25">
      <c r="A362" s="271"/>
      <c r="B362" s="222"/>
      <c r="C362" s="198"/>
      <c r="D362" s="198"/>
      <c r="E362" s="223"/>
      <c r="F362" s="33"/>
      <c r="G362" s="300"/>
      <c r="H362" s="300"/>
      <c r="I362" s="300"/>
      <c r="J362" s="300"/>
      <c r="K362" s="300"/>
      <c r="L362" s="300"/>
      <c r="M362" s="211"/>
      <c r="N362" s="211"/>
      <c r="O362" s="211"/>
    </row>
    <row r="363" spans="1:15" s="208" customFormat="1" ht="20.100000000000001" customHeight="1" x14ac:dyDescent="0.25">
      <c r="A363" s="271"/>
      <c r="B363" s="222"/>
      <c r="C363" s="198"/>
      <c r="D363" s="198"/>
      <c r="E363" s="223"/>
      <c r="F363" s="33"/>
      <c r="G363" s="300"/>
      <c r="H363" s="300"/>
      <c r="I363" s="300"/>
      <c r="J363" s="300"/>
      <c r="K363" s="300"/>
      <c r="L363" s="300"/>
      <c r="M363" s="211"/>
      <c r="N363" s="211"/>
      <c r="O363" s="211"/>
    </row>
    <row r="364" spans="1:15" s="208" customFormat="1" ht="20.100000000000001" customHeight="1" x14ac:dyDescent="0.25">
      <c r="A364" s="271"/>
      <c r="B364" s="222"/>
      <c r="C364" s="198"/>
      <c r="D364" s="198"/>
      <c r="E364" s="223"/>
      <c r="F364" s="33"/>
      <c r="G364" s="300"/>
      <c r="H364" s="300"/>
      <c r="I364" s="300"/>
      <c r="J364" s="300"/>
      <c r="K364" s="300"/>
      <c r="L364" s="300"/>
      <c r="M364" s="211"/>
      <c r="N364" s="211"/>
      <c r="O364" s="211"/>
    </row>
    <row r="365" spans="1:15" s="208" customFormat="1" ht="20.100000000000001" customHeight="1" x14ac:dyDescent="0.25">
      <c r="A365" s="271"/>
      <c r="B365" s="222"/>
      <c r="C365" s="198"/>
      <c r="D365" s="198"/>
      <c r="E365" s="223"/>
      <c r="F365" s="33"/>
      <c r="G365" s="300"/>
      <c r="H365" s="300"/>
      <c r="I365" s="300"/>
      <c r="J365" s="300"/>
      <c r="K365" s="300"/>
      <c r="L365" s="300"/>
      <c r="M365" s="210"/>
      <c r="N365" s="210"/>
      <c r="O365" s="210"/>
    </row>
    <row r="366" spans="1:15" s="208" customFormat="1" ht="20.100000000000001" customHeight="1" x14ac:dyDescent="0.25">
      <c r="A366" s="271"/>
      <c r="B366" s="222"/>
      <c r="C366" s="198"/>
      <c r="D366" s="198"/>
      <c r="E366" s="223"/>
      <c r="F366" s="33"/>
      <c r="G366" s="300"/>
      <c r="H366" s="300"/>
      <c r="I366" s="300"/>
      <c r="J366" s="300"/>
      <c r="K366" s="300"/>
      <c r="L366" s="300"/>
      <c r="M366" s="211"/>
      <c r="N366" s="211"/>
      <c r="O366" s="211"/>
    </row>
    <row r="367" spans="1:15" s="208" customFormat="1" ht="20.100000000000001" customHeight="1" x14ac:dyDescent="0.25">
      <c r="A367" s="271"/>
      <c r="B367" s="222"/>
      <c r="C367" s="198"/>
      <c r="D367" s="198"/>
      <c r="E367" s="223"/>
      <c r="F367" s="33"/>
      <c r="G367" s="300"/>
      <c r="H367" s="300"/>
      <c r="I367" s="300"/>
      <c r="J367" s="300"/>
      <c r="K367" s="300"/>
      <c r="L367" s="300"/>
      <c r="M367" s="211"/>
      <c r="N367" s="211"/>
      <c r="O367" s="211"/>
    </row>
    <row r="368" spans="1:15" s="208" customFormat="1" ht="20.100000000000001" customHeight="1" x14ac:dyDescent="0.25">
      <c r="A368" s="271"/>
      <c r="B368" s="222"/>
      <c r="C368" s="198"/>
      <c r="D368" s="198"/>
      <c r="E368" s="223"/>
      <c r="F368" s="33"/>
      <c r="G368" s="300"/>
      <c r="H368" s="300"/>
      <c r="I368" s="300"/>
      <c r="J368" s="300"/>
      <c r="K368" s="300"/>
      <c r="L368" s="300"/>
      <c r="M368" s="211"/>
      <c r="N368" s="211"/>
      <c r="O368" s="211"/>
    </row>
    <row r="369" spans="1:15" s="208" customFormat="1" ht="20.100000000000001" customHeight="1" x14ac:dyDescent="0.25">
      <c r="A369" s="271"/>
      <c r="B369" s="222"/>
      <c r="C369" s="198"/>
      <c r="D369" s="198"/>
      <c r="E369" s="223"/>
      <c r="F369" s="33"/>
      <c r="G369" s="300"/>
      <c r="H369" s="300"/>
      <c r="I369" s="300"/>
      <c r="J369" s="300"/>
      <c r="K369" s="300"/>
      <c r="L369" s="300"/>
      <c r="M369" s="211"/>
      <c r="N369" s="211"/>
      <c r="O369" s="211"/>
    </row>
    <row r="370" spans="1:15" s="208" customFormat="1" ht="20.100000000000001" customHeight="1" x14ac:dyDescent="0.25">
      <c r="A370" s="271"/>
      <c r="B370" s="222"/>
      <c r="C370" s="198"/>
      <c r="D370" s="198"/>
      <c r="E370" s="223"/>
      <c r="F370" s="33"/>
      <c r="G370" s="300"/>
      <c r="H370" s="300"/>
      <c r="I370" s="300"/>
      <c r="J370" s="300"/>
      <c r="K370" s="300"/>
      <c r="L370" s="300"/>
      <c r="M370" s="211"/>
      <c r="N370" s="211"/>
      <c r="O370" s="211"/>
    </row>
    <row r="371" spans="1:15" s="208" customFormat="1" ht="45" customHeight="1" x14ac:dyDescent="0.25">
      <c r="A371" s="271"/>
      <c r="B371" s="640"/>
      <c r="C371" s="640"/>
      <c r="D371" s="640"/>
      <c r="E371" s="640"/>
      <c r="F371" s="640"/>
      <c r="G371" s="640"/>
      <c r="H371" s="640"/>
      <c r="I371" s="33"/>
      <c r="J371" s="33"/>
      <c r="K371" s="198"/>
      <c r="L371" s="272"/>
      <c r="M371" s="211"/>
      <c r="N371" s="211"/>
      <c r="O371" s="211"/>
    </row>
    <row r="372" spans="1:15" ht="30" customHeight="1" x14ac:dyDescent="0.25">
      <c r="A372" s="271"/>
      <c r="B372" s="271"/>
      <c r="C372" s="271"/>
      <c r="D372" s="271"/>
      <c r="E372" s="271"/>
      <c r="F372" s="271"/>
      <c r="G372" s="271"/>
      <c r="H372" s="271"/>
      <c r="I372" s="271"/>
      <c r="J372" s="271"/>
      <c r="K372" s="271"/>
      <c r="L372" s="271"/>
    </row>
    <row r="373" spans="1:15" ht="20.100000000000001" customHeight="1" x14ac:dyDescent="0.25">
      <c r="A373" s="271"/>
      <c r="B373" s="555"/>
      <c r="C373" s="555"/>
      <c r="D373" s="555"/>
      <c r="E373" s="555"/>
      <c r="F373" s="555"/>
      <c r="G373" s="555"/>
      <c r="H373" s="555"/>
      <c r="I373" s="555"/>
      <c r="J373" s="555"/>
      <c r="K373" s="555"/>
      <c r="L373" s="555"/>
    </row>
    <row r="374" spans="1:15" ht="20.100000000000001" customHeight="1" x14ac:dyDescent="0.25">
      <c r="A374" s="271"/>
      <c r="B374" s="555"/>
      <c r="C374" s="555"/>
      <c r="D374" s="555"/>
      <c r="E374" s="555"/>
      <c r="F374" s="555"/>
      <c r="G374" s="555"/>
      <c r="H374" s="555"/>
      <c r="I374" s="555"/>
      <c r="J374" s="555"/>
      <c r="K374" s="555"/>
      <c r="L374" s="555"/>
    </row>
    <row r="375" spans="1:15" ht="20.100000000000001" customHeight="1" x14ac:dyDescent="0.25">
      <c r="A375" s="271"/>
      <c r="B375" s="537"/>
      <c r="C375" s="271"/>
      <c r="D375" s="537"/>
      <c r="E375" s="537"/>
      <c r="F375" s="537"/>
      <c r="G375" s="271"/>
      <c r="H375" s="271"/>
      <c r="I375" s="271"/>
      <c r="J375" s="537"/>
      <c r="K375" s="537"/>
      <c r="L375" s="533"/>
    </row>
    <row r="376" spans="1:15" ht="20.100000000000001" customHeight="1" x14ac:dyDescent="0.25">
      <c r="A376" s="271"/>
      <c r="B376" s="537"/>
      <c r="C376" s="271"/>
      <c r="D376" s="271"/>
      <c r="E376" s="271"/>
      <c r="F376" s="271"/>
      <c r="G376" s="271"/>
      <c r="H376" s="271"/>
      <c r="I376" s="271"/>
      <c r="J376" s="537"/>
      <c r="K376" s="537"/>
      <c r="L376" s="533"/>
    </row>
    <row r="377" spans="1:15" ht="20.100000000000001" customHeight="1" x14ac:dyDescent="0.25">
      <c r="A377" s="271"/>
      <c r="B377" s="222"/>
      <c r="C377" s="198"/>
      <c r="D377" s="198"/>
      <c r="E377" s="223"/>
      <c r="F377" s="33"/>
      <c r="G377" s="300"/>
      <c r="H377" s="300"/>
      <c r="I377" s="300"/>
      <c r="J377" s="300"/>
      <c r="K377" s="301"/>
      <c r="L377" s="300"/>
    </row>
    <row r="378" spans="1:15" ht="20.100000000000001" customHeight="1" x14ac:dyDescent="0.25">
      <c r="A378" s="271"/>
      <c r="B378" s="222"/>
      <c r="C378" s="198"/>
      <c r="D378" s="198"/>
      <c r="E378" s="223"/>
      <c r="F378" s="33"/>
      <c r="G378" s="300"/>
      <c r="H378" s="300"/>
      <c r="I378" s="300"/>
      <c r="J378" s="300"/>
      <c r="K378" s="300"/>
      <c r="L378" s="300"/>
    </row>
    <row r="379" spans="1:15" ht="20.100000000000001" customHeight="1" x14ac:dyDescent="0.25">
      <c r="A379" s="271"/>
      <c r="B379" s="222"/>
      <c r="C379" s="198"/>
      <c r="D379" s="198"/>
      <c r="E379" s="223"/>
      <c r="F379" s="33"/>
      <c r="G379" s="300"/>
      <c r="H379" s="300"/>
      <c r="I379" s="300"/>
      <c r="J379" s="300"/>
      <c r="K379" s="300"/>
      <c r="L379" s="300"/>
    </row>
    <row r="380" spans="1:15" ht="20.100000000000001" customHeight="1" x14ac:dyDescent="0.25">
      <c r="A380" s="271"/>
      <c r="B380" s="222"/>
      <c r="C380" s="198"/>
      <c r="D380" s="198"/>
      <c r="E380" s="223"/>
      <c r="F380" s="33"/>
      <c r="G380" s="300"/>
      <c r="H380" s="300"/>
      <c r="I380" s="300"/>
      <c r="J380" s="300"/>
      <c r="K380" s="300"/>
      <c r="L380" s="300"/>
    </row>
    <row r="381" spans="1:15" ht="20.100000000000001" customHeight="1" x14ac:dyDescent="0.25">
      <c r="A381" s="271"/>
      <c r="B381" s="222"/>
      <c r="C381" s="198"/>
      <c r="D381" s="198"/>
      <c r="E381" s="223"/>
      <c r="F381" s="33"/>
      <c r="G381" s="300"/>
      <c r="H381" s="300"/>
      <c r="I381" s="300"/>
      <c r="J381" s="300"/>
      <c r="K381" s="300"/>
      <c r="L381" s="300"/>
    </row>
    <row r="382" spans="1:15" ht="20.100000000000001" customHeight="1" x14ac:dyDescent="0.25">
      <c r="A382" s="271"/>
      <c r="B382" s="222"/>
      <c r="C382" s="198"/>
      <c r="D382" s="198"/>
      <c r="E382" s="223"/>
      <c r="F382" s="33"/>
      <c r="G382" s="300"/>
      <c r="H382" s="300"/>
      <c r="I382" s="300"/>
      <c r="J382" s="300"/>
      <c r="K382" s="300"/>
      <c r="L382" s="300"/>
    </row>
    <row r="383" spans="1:15" ht="20.100000000000001" customHeight="1" x14ac:dyDescent="0.25">
      <c r="A383" s="271"/>
      <c r="B383" s="222"/>
      <c r="C383" s="198"/>
      <c r="D383" s="198"/>
      <c r="E383" s="223"/>
      <c r="F383" s="33"/>
      <c r="G383" s="300"/>
      <c r="H383" s="300"/>
      <c r="I383" s="300"/>
      <c r="J383" s="300"/>
      <c r="K383" s="300"/>
      <c r="L383" s="300"/>
    </row>
    <row r="384" spans="1:15" ht="20.100000000000001" customHeight="1" x14ac:dyDescent="0.25">
      <c r="A384" s="271"/>
      <c r="B384" s="222"/>
      <c r="C384" s="198"/>
      <c r="D384" s="198"/>
      <c r="E384" s="223"/>
      <c r="F384" s="33"/>
      <c r="G384" s="300"/>
      <c r="H384" s="300"/>
      <c r="I384" s="300"/>
      <c r="J384" s="300"/>
      <c r="K384" s="300"/>
      <c r="L384" s="300"/>
    </row>
    <row r="385" spans="1:15" ht="20.100000000000001" customHeight="1" x14ac:dyDescent="0.25">
      <c r="A385" s="271"/>
      <c r="B385" s="222"/>
      <c r="C385" s="198"/>
      <c r="D385" s="198"/>
      <c r="E385" s="223"/>
      <c r="F385" s="33"/>
      <c r="G385" s="300"/>
      <c r="H385" s="300"/>
      <c r="I385" s="300"/>
      <c r="J385" s="300"/>
      <c r="K385" s="300"/>
      <c r="L385" s="300"/>
    </row>
    <row r="386" spans="1:15" ht="20.100000000000001" customHeight="1" x14ac:dyDescent="0.25">
      <c r="A386" s="271"/>
      <c r="B386" s="222"/>
      <c r="C386" s="198"/>
      <c r="D386" s="198"/>
      <c r="E386" s="223"/>
      <c r="F386" s="33"/>
      <c r="G386" s="300"/>
      <c r="H386" s="300"/>
      <c r="I386" s="300"/>
      <c r="J386" s="300"/>
      <c r="K386" s="300"/>
      <c r="L386" s="300"/>
    </row>
    <row r="387" spans="1:15" ht="20.100000000000001" customHeight="1" x14ac:dyDescent="0.25">
      <c r="A387" s="271"/>
      <c r="B387" s="222"/>
      <c r="C387" s="198"/>
      <c r="D387" s="198"/>
      <c r="E387" s="223"/>
      <c r="F387" s="33"/>
      <c r="G387" s="300"/>
      <c r="H387" s="300"/>
      <c r="I387" s="300"/>
      <c r="J387" s="300"/>
      <c r="K387" s="300"/>
      <c r="L387" s="300"/>
    </row>
    <row r="388" spans="1:15" s="208" customFormat="1" ht="20.100000000000001" customHeight="1" x14ac:dyDescent="0.25">
      <c r="A388" s="271"/>
      <c r="B388" s="222"/>
      <c r="C388" s="198"/>
      <c r="D388" s="198"/>
      <c r="E388" s="223"/>
      <c r="F388" s="33"/>
      <c r="G388" s="300"/>
      <c r="H388" s="300"/>
      <c r="I388" s="300"/>
      <c r="J388" s="300"/>
      <c r="K388" s="300"/>
      <c r="L388" s="300"/>
      <c r="M388" s="211"/>
      <c r="N388" s="211"/>
      <c r="O388" s="211"/>
    </row>
    <row r="389" spans="1:15" s="208" customFormat="1" ht="20.100000000000001" customHeight="1" x14ac:dyDescent="0.25">
      <c r="A389" s="271"/>
      <c r="B389" s="222"/>
      <c r="C389" s="198"/>
      <c r="D389" s="198"/>
      <c r="E389" s="223"/>
      <c r="F389" s="33"/>
      <c r="G389" s="300"/>
      <c r="H389" s="300"/>
      <c r="I389" s="300"/>
      <c r="J389" s="300"/>
      <c r="K389" s="300"/>
      <c r="L389" s="300"/>
      <c r="M389" s="211"/>
      <c r="N389" s="211"/>
      <c r="O389" s="211"/>
    </row>
    <row r="390" spans="1:15" s="208" customFormat="1" ht="20.100000000000001" customHeight="1" x14ac:dyDescent="0.25">
      <c r="A390" s="271"/>
      <c r="B390" s="222"/>
      <c r="C390" s="198"/>
      <c r="D390" s="198"/>
      <c r="E390" s="223"/>
      <c r="F390" s="33"/>
      <c r="G390" s="300"/>
      <c r="H390" s="300"/>
      <c r="I390" s="300"/>
      <c r="J390" s="300"/>
      <c r="K390" s="300"/>
      <c r="L390" s="300"/>
      <c r="M390" s="210"/>
      <c r="N390" s="210"/>
      <c r="O390" s="210"/>
    </row>
    <row r="391" spans="1:15" s="208" customFormat="1" ht="20.100000000000001" customHeight="1" x14ac:dyDescent="0.25">
      <c r="A391" s="271"/>
      <c r="B391" s="222"/>
      <c r="C391" s="198"/>
      <c r="D391" s="198"/>
      <c r="E391" s="223"/>
      <c r="F391" s="33"/>
      <c r="G391" s="300"/>
      <c r="H391" s="300"/>
      <c r="I391" s="300"/>
      <c r="J391" s="300"/>
      <c r="K391" s="300"/>
      <c r="L391" s="300"/>
      <c r="M391" s="211"/>
      <c r="N391" s="211"/>
      <c r="O391" s="211"/>
    </row>
    <row r="392" spans="1:15" s="208" customFormat="1" ht="45" customHeight="1" x14ac:dyDescent="0.25">
      <c r="A392" s="271"/>
      <c r="B392" s="640"/>
      <c r="C392" s="640"/>
      <c r="D392" s="640"/>
      <c r="E392" s="640"/>
      <c r="F392" s="640"/>
      <c r="G392" s="640"/>
      <c r="H392" s="640"/>
      <c r="I392" s="33"/>
      <c r="J392" s="33"/>
      <c r="K392" s="198"/>
      <c r="L392" s="272"/>
      <c r="M392" s="211"/>
      <c r="N392" s="211"/>
      <c r="O392" s="211"/>
    </row>
    <row r="393" spans="1:15" s="208" customFormat="1" ht="30" customHeight="1" x14ac:dyDescent="0.25">
      <c r="A393" s="271"/>
      <c r="B393" s="271"/>
      <c r="C393" s="271"/>
      <c r="D393" s="271"/>
      <c r="E393" s="271"/>
      <c r="F393" s="271"/>
      <c r="G393" s="271"/>
      <c r="H393" s="271"/>
      <c r="I393" s="271"/>
      <c r="J393" s="271"/>
      <c r="K393" s="271"/>
      <c r="L393" s="271"/>
      <c r="M393" s="211"/>
      <c r="N393" s="211"/>
      <c r="O393" s="211"/>
    </row>
    <row r="394" spans="1:15" s="208" customFormat="1" ht="20.100000000000001" customHeight="1" x14ac:dyDescent="0.25">
      <c r="A394" s="271"/>
      <c r="B394" s="555"/>
      <c r="C394" s="555"/>
      <c r="D394" s="555"/>
      <c r="E394" s="555"/>
      <c r="F394" s="555"/>
      <c r="G394" s="555"/>
      <c r="H394" s="555"/>
      <c r="I394" s="555"/>
      <c r="J394" s="555"/>
      <c r="K394" s="555"/>
      <c r="L394" s="555"/>
      <c r="M394" s="211"/>
      <c r="N394" s="211"/>
      <c r="O394" s="211"/>
    </row>
    <row r="395" spans="1:15" s="208" customFormat="1" ht="20.100000000000001" customHeight="1" x14ac:dyDescent="0.25">
      <c r="A395" s="271"/>
      <c r="B395" s="555"/>
      <c r="C395" s="555"/>
      <c r="D395" s="555"/>
      <c r="E395" s="555"/>
      <c r="F395" s="555"/>
      <c r="G395" s="555"/>
      <c r="H395" s="555"/>
      <c r="I395" s="555"/>
      <c r="J395" s="555"/>
      <c r="K395" s="555"/>
      <c r="L395" s="555"/>
      <c r="M395" s="211"/>
      <c r="N395" s="211"/>
      <c r="O395" s="211"/>
    </row>
    <row r="396" spans="1:15" s="208" customFormat="1" ht="20.100000000000001" customHeight="1" x14ac:dyDescent="0.25">
      <c r="A396" s="271"/>
      <c r="B396" s="537"/>
      <c r="C396" s="271"/>
      <c r="D396" s="537"/>
      <c r="E396" s="537"/>
      <c r="F396" s="537"/>
      <c r="G396" s="271"/>
      <c r="H396" s="271"/>
      <c r="I396" s="271"/>
      <c r="J396" s="537"/>
      <c r="K396" s="537"/>
      <c r="L396" s="533"/>
      <c r="M396" s="211"/>
      <c r="N396" s="211"/>
      <c r="O396" s="211"/>
    </row>
    <row r="397" spans="1:15" s="208" customFormat="1" ht="20.100000000000001" customHeight="1" x14ac:dyDescent="0.25">
      <c r="A397" s="271"/>
      <c r="B397" s="537"/>
      <c r="C397" s="271"/>
      <c r="D397" s="271"/>
      <c r="E397" s="271"/>
      <c r="F397" s="271"/>
      <c r="G397" s="271"/>
      <c r="H397" s="271"/>
      <c r="I397" s="271"/>
      <c r="J397" s="537"/>
      <c r="K397" s="537"/>
      <c r="L397" s="533"/>
      <c r="M397" s="211"/>
      <c r="N397" s="211"/>
      <c r="O397" s="211"/>
    </row>
    <row r="398" spans="1:15" s="208" customFormat="1" ht="20.100000000000001" customHeight="1" x14ac:dyDescent="0.25">
      <c r="A398" s="271"/>
      <c r="B398" s="222"/>
      <c r="C398" s="198"/>
      <c r="D398" s="198"/>
      <c r="E398" s="223"/>
      <c r="F398" s="33"/>
      <c r="G398" s="300"/>
      <c r="H398" s="300"/>
      <c r="I398" s="300"/>
      <c r="J398" s="300"/>
      <c r="K398" s="301"/>
      <c r="L398" s="300"/>
      <c r="M398" s="211"/>
      <c r="N398" s="211"/>
      <c r="O398" s="211"/>
    </row>
    <row r="399" spans="1:15" s="208" customFormat="1" ht="20.100000000000001" customHeight="1" x14ac:dyDescent="0.25">
      <c r="A399" s="271"/>
      <c r="B399" s="222"/>
      <c r="C399" s="198"/>
      <c r="D399" s="198"/>
      <c r="E399" s="223"/>
      <c r="F399" s="33"/>
      <c r="G399" s="300"/>
      <c r="H399" s="300"/>
      <c r="I399" s="300"/>
      <c r="J399" s="300"/>
      <c r="K399" s="300"/>
      <c r="L399" s="300"/>
      <c r="M399" s="211"/>
      <c r="N399" s="211"/>
      <c r="O399" s="211"/>
    </row>
    <row r="400" spans="1:15" s="208" customFormat="1" ht="20.100000000000001" customHeight="1" x14ac:dyDescent="0.25">
      <c r="A400" s="271"/>
      <c r="B400" s="222"/>
      <c r="C400" s="198"/>
      <c r="D400" s="198"/>
      <c r="E400" s="223"/>
      <c r="F400" s="33"/>
      <c r="G400" s="300"/>
      <c r="H400" s="300"/>
      <c r="I400" s="300"/>
      <c r="J400" s="300"/>
      <c r="K400" s="300"/>
      <c r="L400" s="300"/>
      <c r="M400" s="211"/>
      <c r="N400" s="211"/>
      <c r="O400" s="211"/>
    </row>
    <row r="401" spans="1:15" s="208" customFormat="1" ht="20.100000000000001" customHeight="1" x14ac:dyDescent="0.25">
      <c r="A401" s="271"/>
      <c r="B401" s="222"/>
      <c r="C401" s="198"/>
      <c r="D401" s="198"/>
      <c r="E401" s="223"/>
      <c r="F401" s="33"/>
      <c r="G401" s="300"/>
      <c r="H401" s="300"/>
      <c r="I401" s="300"/>
      <c r="J401" s="300"/>
      <c r="K401" s="300"/>
      <c r="L401" s="300"/>
      <c r="M401" s="211"/>
      <c r="N401" s="211"/>
      <c r="O401" s="211"/>
    </row>
    <row r="402" spans="1:15" s="208" customFormat="1" ht="20.100000000000001" customHeight="1" x14ac:dyDescent="0.25">
      <c r="A402" s="271"/>
      <c r="B402" s="222"/>
      <c r="C402" s="198"/>
      <c r="D402" s="198"/>
      <c r="E402" s="223"/>
      <c r="F402" s="33"/>
      <c r="G402" s="300"/>
      <c r="H402" s="300"/>
      <c r="I402" s="300"/>
      <c r="J402" s="300"/>
      <c r="K402" s="300"/>
      <c r="L402" s="300"/>
      <c r="M402" s="211"/>
      <c r="N402" s="211"/>
      <c r="O402" s="211"/>
    </row>
    <row r="403" spans="1:15" s="208" customFormat="1" ht="20.100000000000001" customHeight="1" x14ac:dyDescent="0.25">
      <c r="A403" s="271"/>
      <c r="B403" s="222"/>
      <c r="C403" s="198"/>
      <c r="D403" s="198"/>
      <c r="E403" s="223"/>
      <c r="F403" s="33"/>
      <c r="G403" s="300"/>
      <c r="H403" s="300"/>
      <c r="I403" s="300"/>
      <c r="J403" s="300"/>
      <c r="K403" s="300"/>
      <c r="L403" s="300"/>
      <c r="M403" s="211"/>
      <c r="N403" s="211"/>
      <c r="O403" s="211"/>
    </row>
    <row r="404" spans="1:15" s="208" customFormat="1" ht="20.100000000000001" customHeight="1" x14ac:dyDescent="0.25">
      <c r="A404" s="271"/>
      <c r="B404" s="222"/>
      <c r="C404" s="198"/>
      <c r="D404" s="198"/>
      <c r="E404" s="223"/>
      <c r="F404" s="33"/>
      <c r="G404" s="300"/>
      <c r="H404" s="300"/>
      <c r="I404" s="300"/>
      <c r="J404" s="300"/>
      <c r="K404" s="300"/>
      <c r="L404" s="300"/>
      <c r="M404" s="211"/>
      <c r="N404" s="211"/>
      <c r="O404" s="211"/>
    </row>
    <row r="405" spans="1:15" s="208" customFormat="1" ht="20.100000000000001" customHeight="1" x14ac:dyDescent="0.25">
      <c r="A405" s="271"/>
      <c r="B405" s="222"/>
      <c r="C405" s="198"/>
      <c r="D405" s="198"/>
      <c r="E405" s="223"/>
      <c r="F405" s="33"/>
      <c r="G405" s="300"/>
      <c r="H405" s="300"/>
      <c r="I405" s="300"/>
      <c r="J405" s="300"/>
      <c r="K405" s="300"/>
      <c r="L405" s="300"/>
      <c r="M405" s="211"/>
      <c r="N405" s="211"/>
      <c r="O405" s="211"/>
    </row>
    <row r="406" spans="1:15" s="208" customFormat="1" ht="20.100000000000001" customHeight="1" x14ac:dyDescent="0.25">
      <c r="A406" s="271"/>
      <c r="B406" s="222"/>
      <c r="C406" s="198"/>
      <c r="D406" s="198"/>
      <c r="E406" s="223"/>
      <c r="F406" s="33"/>
      <c r="G406" s="300"/>
      <c r="H406" s="300"/>
      <c r="I406" s="300"/>
      <c r="J406" s="300"/>
      <c r="K406" s="300"/>
      <c r="L406" s="300"/>
      <c r="M406" s="211"/>
      <c r="N406" s="211"/>
      <c r="O406" s="211"/>
    </row>
    <row r="407" spans="1:15" s="208" customFormat="1" ht="20.100000000000001" customHeight="1" x14ac:dyDescent="0.25">
      <c r="A407" s="271"/>
      <c r="B407" s="222"/>
      <c r="C407" s="198"/>
      <c r="D407" s="198"/>
      <c r="E407" s="223"/>
      <c r="F407" s="33"/>
      <c r="G407" s="300"/>
      <c r="H407" s="300"/>
      <c r="I407" s="300"/>
      <c r="J407" s="300"/>
      <c r="K407" s="300"/>
      <c r="L407" s="300"/>
      <c r="M407" s="211"/>
      <c r="N407" s="211"/>
      <c r="O407" s="211"/>
    </row>
    <row r="408" spans="1:15" s="208" customFormat="1" ht="20.100000000000001" customHeight="1" x14ac:dyDescent="0.25">
      <c r="A408" s="271"/>
      <c r="B408" s="222"/>
      <c r="C408" s="198"/>
      <c r="D408" s="198"/>
      <c r="E408" s="223"/>
      <c r="F408" s="33"/>
      <c r="G408" s="300"/>
      <c r="H408" s="300"/>
      <c r="I408" s="300"/>
      <c r="J408" s="300"/>
      <c r="K408" s="300"/>
      <c r="L408" s="300"/>
      <c r="M408" s="211"/>
      <c r="N408" s="211"/>
      <c r="O408" s="211"/>
    </row>
    <row r="409" spans="1:15" s="208" customFormat="1" ht="20.100000000000001" customHeight="1" x14ac:dyDescent="0.25">
      <c r="A409" s="271"/>
      <c r="B409" s="222"/>
      <c r="C409" s="198"/>
      <c r="D409" s="198"/>
      <c r="E409" s="223"/>
      <c r="F409" s="33"/>
      <c r="G409" s="300"/>
      <c r="H409" s="300"/>
      <c r="I409" s="300"/>
      <c r="J409" s="300"/>
      <c r="K409" s="300"/>
      <c r="L409" s="300"/>
      <c r="M409" s="211"/>
      <c r="N409" s="211"/>
      <c r="O409" s="211"/>
    </row>
    <row r="410" spans="1:15" s="208" customFormat="1" ht="20.100000000000001" customHeight="1" x14ac:dyDescent="0.25">
      <c r="A410" s="271"/>
      <c r="B410" s="222"/>
      <c r="C410" s="198"/>
      <c r="D410" s="198"/>
      <c r="E410" s="223"/>
      <c r="F410" s="33"/>
      <c r="G410" s="300"/>
      <c r="H410" s="300"/>
      <c r="I410" s="300"/>
      <c r="J410" s="300"/>
      <c r="K410" s="300"/>
      <c r="L410" s="300"/>
      <c r="M410" s="211"/>
      <c r="N410" s="211"/>
      <c r="O410" s="211"/>
    </row>
    <row r="411" spans="1:15" s="208" customFormat="1" ht="20.100000000000001" customHeight="1" x14ac:dyDescent="0.25">
      <c r="A411" s="271"/>
      <c r="B411" s="222"/>
      <c r="C411" s="198"/>
      <c r="D411" s="198"/>
      <c r="E411" s="223"/>
      <c r="F411" s="33"/>
      <c r="G411" s="300"/>
      <c r="H411" s="300"/>
      <c r="I411" s="300"/>
      <c r="J411" s="300"/>
      <c r="K411" s="300"/>
      <c r="L411" s="300"/>
      <c r="M411" s="211"/>
      <c r="N411" s="211"/>
      <c r="O411" s="211"/>
    </row>
    <row r="412" spans="1:15" s="208" customFormat="1" ht="20.100000000000001" customHeight="1" x14ac:dyDescent="0.25">
      <c r="A412" s="271"/>
      <c r="B412" s="222"/>
      <c r="C412" s="198"/>
      <c r="D412" s="198"/>
      <c r="E412" s="223"/>
      <c r="F412" s="33"/>
      <c r="G412" s="300"/>
      <c r="H412" s="300"/>
      <c r="I412" s="300"/>
      <c r="J412" s="300"/>
      <c r="K412" s="300"/>
      <c r="L412" s="300"/>
      <c r="M412" s="211"/>
      <c r="N412" s="211"/>
      <c r="O412" s="211"/>
    </row>
    <row r="413" spans="1:15" s="208" customFormat="1" ht="45" customHeight="1" x14ac:dyDescent="0.25">
      <c r="A413" s="271"/>
      <c r="B413" s="640"/>
      <c r="C413" s="640"/>
      <c r="D413" s="640"/>
      <c r="E413" s="640"/>
      <c r="F413" s="640"/>
      <c r="G413" s="640"/>
      <c r="H413" s="640"/>
      <c r="I413" s="33"/>
      <c r="J413" s="33"/>
      <c r="K413" s="198"/>
      <c r="L413" s="272"/>
      <c r="M413" s="211"/>
      <c r="N413" s="211"/>
      <c r="O413" s="211"/>
    </row>
    <row r="414" spans="1:15" s="208" customFormat="1" ht="30" customHeight="1" x14ac:dyDescent="0.25">
      <c r="A414" s="271"/>
      <c r="B414" s="271"/>
      <c r="C414" s="271"/>
      <c r="D414" s="271"/>
      <c r="E414" s="271"/>
      <c r="F414" s="271"/>
      <c r="G414" s="271"/>
      <c r="H414" s="271"/>
      <c r="I414" s="271"/>
      <c r="J414" s="271"/>
      <c r="K414" s="271"/>
      <c r="L414" s="271"/>
      <c r="M414" s="211"/>
      <c r="N414" s="211"/>
      <c r="O414" s="211"/>
    </row>
    <row r="415" spans="1:15" s="208" customFormat="1" ht="20.100000000000001" customHeight="1" x14ac:dyDescent="0.25">
      <c r="A415" s="271"/>
      <c r="B415" s="555"/>
      <c r="C415" s="555"/>
      <c r="D415" s="555"/>
      <c r="E415" s="555"/>
      <c r="F415" s="555"/>
      <c r="G415" s="555"/>
      <c r="H415" s="555"/>
      <c r="I415" s="555"/>
      <c r="J415" s="555"/>
      <c r="K415" s="555"/>
      <c r="L415" s="555"/>
      <c r="M415" s="210"/>
      <c r="N415" s="210"/>
      <c r="O415" s="210"/>
    </row>
    <row r="416" spans="1:15" s="208" customFormat="1" ht="20.100000000000001" customHeight="1" x14ac:dyDescent="0.25">
      <c r="A416" s="271"/>
      <c r="B416" s="555"/>
      <c r="C416" s="555"/>
      <c r="D416" s="555"/>
      <c r="E416" s="555"/>
      <c r="F416" s="555"/>
      <c r="G416" s="555"/>
      <c r="H416" s="555"/>
      <c r="I416" s="555"/>
      <c r="J416" s="555"/>
      <c r="K416" s="555"/>
      <c r="L416" s="555"/>
      <c r="M416" s="211"/>
      <c r="N416" s="211"/>
      <c r="O416" s="211"/>
    </row>
    <row r="417" spans="1:15" s="208" customFormat="1" ht="20.100000000000001" customHeight="1" x14ac:dyDescent="0.25">
      <c r="A417" s="271"/>
      <c r="B417" s="537"/>
      <c r="C417" s="271"/>
      <c r="D417" s="537"/>
      <c r="E417" s="537"/>
      <c r="F417" s="537"/>
      <c r="G417" s="271"/>
      <c r="H417" s="271"/>
      <c r="I417" s="271"/>
      <c r="J417" s="537"/>
      <c r="K417" s="537"/>
      <c r="L417" s="533"/>
      <c r="M417" s="211"/>
      <c r="N417" s="211"/>
      <c r="O417" s="211"/>
    </row>
    <row r="418" spans="1:15" s="208" customFormat="1" ht="20.100000000000001" customHeight="1" x14ac:dyDescent="0.25">
      <c r="A418" s="271"/>
      <c r="B418" s="537"/>
      <c r="C418" s="271"/>
      <c r="D418" s="271"/>
      <c r="E418" s="271"/>
      <c r="F418" s="271"/>
      <c r="G418" s="271"/>
      <c r="H418" s="271"/>
      <c r="I418" s="271"/>
      <c r="J418" s="537"/>
      <c r="K418" s="537"/>
      <c r="L418" s="533"/>
      <c r="M418" s="211"/>
      <c r="N418" s="211"/>
      <c r="O418" s="211"/>
    </row>
    <row r="419" spans="1:15" s="208" customFormat="1" ht="20.100000000000001" customHeight="1" x14ac:dyDescent="0.25">
      <c r="A419" s="271"/>
      <c r="B419" s="222"/>
      <c r="C419" s="198"/>
      <c r="D419" s="198"/>
      <c r="E419" s="223"/>
      <c r="F419" s="33"/>
      <c r="G419" s="300"/>
      <c r="H419" s="300"/>
      <c r="I419" s="300"/>
      <c r="J419" s="300"/>
      <c r="K419" s="301"/>
      <c r="L419" s="300"/>
      <c r="M419" s="211"/>
      <c r="N419" s="211"/>
      <c r="O419" s="211"/>
    </row>
    <row r="420" spans="1:15" ht="20.100000000000001" customHeight="1" x14ac:dyDescent="0.25">
      <c r="A420" s="271"/>
      <c r="B420" s="222"/>
      <c r="C420" s="198"/>
      <c r="D420" s="198"/>
      <c r="E420" s="223"/>
      <c r="F420" s="33"/>
      <c r="G420" s="300"/>
      <c r="H420" s="300"/>
      <c r="I420" s="300"/>
      <c r="J420" s="300"/>
      <c r="K420" s="300"/>
      <c r="L420" s="300"/>
    </row>
    <row r="421" spans="1:15" ht="20.100000000000001" customHeight="1" x14ac:dyDescent="0.25">
      <c r="A421" s="271"/>
      <c r="B421" s="222"/>
      <c r="C421" s="198"/>
      <c r="D421" s="198"/>
      <c r="E421" s="223"/>
      <c r="F421" s="33"/>
      <c r="G421" s="300"/>
      <c r="H421" s="300"/>
      <c r="I421" s="300"/>
      <c r="J421" s="300"/>
      <c r="K421" s="300"/>
      <c r="L421" s="300"/>
    </row>
    <row r="422" spans="1:15" ht="20.100000000000001" customHeight="1" x14ac:dyDescent="0.25">
      <c r="A422" s="271"/>
      <c r="B422" s="222"/>
      <c r="C422" s="198"/>
      <c r="D422" s="198"/>
      <c r="E422" s="223"/>
      <c r="F422" s="33"/>
      <c r="G422" s="300"/>
      <c r="H422" s="300"/>
      <c r="I422" s="300"/>
      <c r="J422" s="300"/>
      <c r="K422" s="300"/>
      <c r="L422" s="300"/>
    </row>
    <row r="423" spans="1:15" ht="20.100000000000001" customHeight="1" x14ac:dyDescent="0.25">
      <c r="A423" s="271"/>
      <c r="B423" s="222"/>
      <c r="C423" s="198"/>
      <c r="D423" s="198"/>
      <c r="E423" s="223"/>
      <c r="F423" s="33"/>
      <c r="G423" s="300"/>
      <c r="H423" s="300"/>
      <c r="I423" s="300"/>
      <c r="J423" s="300"/>
      <c r="K423" s="300"/>
      <c r="L423" s="300"/>
    </row>
    <row r="424" spans="1:15" ht="20.100000000000001" customHeight="1" x14ac:dyDescent="0.25">
      <c r="A424" s="271"/>
      <c r="B424" s="222"/>
      <c r="C424" s="198"/>
      <c r="D424" s="198"/>
      <c r="E424" s="223"/>
      <c r="F424" s="33"/>
      <c r="G424" s="300"/>
      <c r="H424" s="300"/>
      <c r="I424" s="300"/>
      <c r="J424" s="300"/>
      <c r="K424" s="300"/>
      <c r="L424" s="300"/>
    </row>
    <row r="425" spans="1:15" ht="20.100000000000001" customHeight="1" x14ac:dyDescent="0.25">
      <c r="A425" s="271"/>
      <c r="B425" s="222"/>
      <c r="C425" s="198"/>
      <c r="D425" s="198"/>
      <c r="E425" s="223"/>
      <c r="F425" s="33"/>
      <c r="G425" s="300"/>
      <c r="H425" s="300"/>
      <c r="I425" s="300"/>
      <c r="J425" s="300"/>
      <c r="K425" s="300"/>
      <c r="L425" s="300"/>
    </row>
    <row r="426" spans="1:15" ht="20.100000000000001" customHeight="1" x14ac:dyDescent="0.25">
      <c r="A426" s="271"/>
      <c r="B426" s="222"/>
      <c r="C426" s="198"/>
      <c r="D426" s="198"/>
      <c r="E426" s="223"/>
      <c r="F426" s="33"/>
      <c r="G426" s="300"/>
      <c r="H426" s="300"/>
      <c r="I426" s="300"/>
      <c r="J426" s="300"/>
      <c r="K426" s="300"/>
      <c r="L426" s="300"/>
    </row>
    <row r="427" spans="1:15" ht="20.100000000000001" customHeight="1" x14ac:dyDescent="0.25">
      <c r="A427" s="271"/>
      <c r="B427" s="222"/>
      <c r="C427" s="198"/>
      <c r="D427" s="198"/>
      <c r="E427" s="223"/>
      <c r="F427" s="33"/>
      <c r="G427" s="300"/>
      <c r="H427" s="300"/>
      <c r="I427" s="300"/>
      <c r="J427" s="300"/>
      <c r="K427" s="300"/>
      <c r="L427" s="300"/>
    </row>
    <row r="428" spans="1:15" ht="20.100000000000001" customHeight="1" x14ac:dyDescent="0.25">
      <c r="A428" s="271"/>
      <c r="B428" s="222"/>
      <c r="C428" s="198"/>
      <c r="D428" s="198"/>
      <c r="E428" s="223"/>
      <c r="F428" s="33"/>
      <c r="G428" s="300"/>
      <c r="H428" s="300"/>
      <c r="I428" s="300"/>
      <c r="J428" s="300"/>
      <c r="K428" s="300"/>
      <c r="L428" s="300"/>
    </row>
    <row r="429" spans="1:15" ht="20.100000000000001" customHeight="1" x14ac:dyDescent="0.25">
      <c r="A429" s="271"/>
      <c r="B429" s="222"/>
      <c r="C429" s="198"/>
      <c r="D429" s="198"/>
      <c r="E429" s="223"/>
      <c r="F429" s="33"/>
      <c r="G429" s="300"/>
      <c r="H429" s="300"/>
      <c r="I429" s="300"/>
      <c r="J429" s="300"/>
      <c r="K429" s="300"/>
      <c r="L429" s="300"/>
    </row>
    <row r="430" spans="1:15" ht="20.100000000000001" customHeight="1" x14ac:dyDescent="0.25">
      <c r="A430" s="271"/>
      <c r="B430" s="222"/>
      <c r="C430" s="198"/>
      <c r="D430" s="198"/>
      <c r="E430" s="223"/>
      <c r="F430" s="33"/>
      <c r="G430" s="300"/>
      <c r="H430" s="300"/>
      <c r="I430" s="300"/>
      <c r="J430" s="300"/>
      <c r="K430" s="300"/>
      <c r="L430" s="300"/>
    </row>
    <row r="431" spans="1:15" ht="20.100000000000001" customHeight="1" x14ac:dyDescent="0.25">
      <c r="A431" s="271"/>
      <c r="B431" s="222"/>
      <c r="C431" s="198"/>
      <c r="D431" s="198"/>
      <c r="E431" s="223"/>
      <c r="F431" s="33"/>
      <c r="G431" s="300"/>
      <c r="H431" s="300"/>
      <c r="I431" s="300"/>
      <c r="J431" s="300"/>
      <c r="K431" s="300"/>
      <c r="L431" s="300"/>
    </row>
    <row r="432" spans="1:15" ht="20.100000000000001" customHeight="1" x14ac:dyDescent="0.25">
      <c r="A432" s="271"/>
      <c r="B432" s="222"/>
      <c r="C432" s="198"/>
      <c r="D432" s="198"/>
      <c r="E432" s="223"/>
      <c r="F432" s="33"/>
      <c r="G432" s="300"/>
      <c r="H432" s="300"/>
      <c r="I432" s="300"/>
      <c r="J432" s="300"/>
      <c r="K432" s="300"/>
      <c r="L432" s="300"/>
    </row>
    <row r="433" spans="1:15" ht="20.100000000000001" customHeight="1" x14ac:dyDescent="0.25">
      <c r="A433" s="271"/>
      <c r="B433" s="222"/>
      <c r="C433" s="198"/>
      <c r="D433" s="198"/>
      <c r="E433" s="223"/>
      <c r="F433" s="33"/>
      <c r="G433" s="300"/>
      <c r="H433" s="300"/>
      <c r="I433" s="300"/>
      <c r="J433" s="300"/>
      <c r="K433" s="300"/>
      <c r="L433" s="300"/>
    </row>
    <row r="434" spans="1:15" ht="45" customHeight="1" x14ac:dyDescent="0.25">
      <c r="A434" s="271"/>
      <c r="B434" s="640"/>
      <c r="C434" s="640"/>
      <c r="D434" s="640"/>
      <c r="E434" s="640"/>
      <c r="F434" s="640"/>
      <c r="G434" s="640"/>
      <c r="H434" s="640"/>
      <c r="I434" s="33"/>
      <c r="J434" s="33"/>
      <c r="K434" s="198"/>
      <c r="L434" s="272"/>
    </row>
    <row r="435" spans="1:15" ht="20.100000000000001" customHeight="1" x14ac:dyDescent="0.25">
      <c r="A435" s="271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</row>
    <row r="436" spans="1:15" s="208" customFormat="1" ht="20.100000000000001" customHeight="1" x14ac:dyDescent="0.25">
      <c r="A436" s="271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211"/>
      <c r="N436" s="211"/>
      <c r="O436" s="211"/>
    </row>
    <row r="437" spans="1:15" s="208" customFormat="1" ht="20.100000000000001" customHeight="1" x14ac:dyDescent="0.25">
      <c r="A437" s="271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211"/>
      <c r="N437" s="211"/>
      <c r="O437" s="211"/>
    </row>
    <row r="438" spans="1:15" s="208" customFormat="1" ht="20.100000000000001" customHeight="1" x14ac:dyDescent="0.25">
      <c r="A438" s="271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211"/>
      <c r="N438" s="211"/>
      <c r="O438" s="211"/>
    </row>
    <row r="439" spans="1:15" s="208" customFormat="1" ht="45" customHeight="1" x14ac:dyDescent="0.25">
      <c r="A439" s="271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211"/>
      <c r="N439" s="211"/>
      <c r="O439" s="211"/>
    </row>
    <row r="440" spans="1:15" s="208" customFormat="1" ht="30" customHeight="1" x14ac:dyDescent="0.25">
      <c r="A440" s="271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210"/>
      <c r="N440" s="210"/>
      <c r="O440" s="210"/>
    </row>
    <row r="441" spans="1:15" s="208" customFormat="1" ht="20.100000000000001" customHeight="1" x14ac:dyDescent="0.25">
      <c r="A441" s="271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211"/>
      <c r="N441" s="211"/>
      <c r="O441" s="211"/>
    </row>
    <row r="442" spans="1:15" s="208" customFormat="1" ht="20.100000000000001" customHeight="1" x14ac:dyDescent="0.25">
      <c r="A442" s="271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211"/>
      <c r="N442" s="211"/>
      <c r="O442" s="211"/>
    </row>
    <row r="443" spans="1:15" s="208" customFormat="1" ht="20.100000000000001" customHeight="1" x14ac:dyDescent="0.25">
      <c r="A443" s="271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211"/>
      <c r="N443" s="211"/>
      <c r="O443" s="211"/>
    </row>
    <row r="444" spans="1:15" s="208" customFormat="1" ht="20.100000000000001" customHeight="1" x14ac:dyDescent="0.25">
      <c r="A444" s="271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211"/>
      <c r="N444" s="211"/>
      <c r="O444" s="211"/>
    </row>
    <row r="445" spans="1:15" s="208" customFormat="1" ht="20.100000000000001" customHeight="1" x14ac:dyDescent="0.25">
      <c r="A445" s="271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211"/>
      <c r="N445" s="211"/>
      <c r="O445" s="211"/>
    </row>
    <row r="446" spans="1:15" s="208" customFormat="1" ht="20.100000000000001" customHeight="1" x14ac:dyDescent="0.25">
      <c r="A446" s="271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211"/>
      <c r="N446" s="211"/>
      <c r="O446" s="211"/>
    </row>
    <row r="447" spans="1:15" s="208" customFormat="1" ht="20.100000000000001" customHeight="1" x14ac:dyDescent="0.25">
      <c r="A447" s="271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211"/>
      <c r="N447" s="211"/>
      <c r="O447" s="211"/>
    </row>
    <row r="448" spans="1:15" s="208" customFormat="1" ht="20.100000000000001" customHeight="1" x14ac:dyDescent="0.25">
      <c r="A448" s="271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211"/>
      <c r="N448" s="211"/>
      <c r="O448" s="211"/>
    </row>
    <row r="449" spans="1:15" s="208" customFormat="1" ht="20.100000000000001" customHeight="1" x14ac:dyDescent="0.25">
      <c r="A449" s="271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211"/>
      <c r="N449" s="211"/>
      <c r="O449" s="211"/>
    </row>
    <row r="450" spans="1:15" s="208" customFormat="1" ht="20.100000000000001" customHeight="1" x14ac:dyDescent="0.25">
      <c r="A450" s="271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211"/>
      <c r="N450" s="211"/>
      <c r="O450" s="211"/>
    </row>
    <row r="451" spans="1:15" s="208" customFormat="1" ht="20.100000000000001" customHeight="1" x14ac:dyDescent="0.25">
      <c r="A451" s="271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211"/>
      <c r="N451" s="211"/>
      <c r="O451" s="211"/>
    </row>
    <row r="452" spans="1:15" s="208" customFormat="1" ht="20.100000000000001" customHeight="1" x14ac:dyDescent="0.25">
      <c r="A452" s="271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211"/>
      <c r="N452" s="211"/>
      <c r="O452" s="211"/>
    </row>
    <row r="453" spans="1:15" s="208" customFormat="1" ht="20.100000000000001" customHeight="1" x14ac:dyDescent="0.25">
      <c r="A453" s="271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211"/>
      <c r="N453" s="211"/>
      <c r="O453" s="211"/>
    </row>
    <row r="454" spans="1:15" s="208" customFormat="1" ht="20.100000000000001" customHeight="1" x14ac:dyDescent="0.25">
      <c r="A454" s="271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211"/>
      <c r="N454" s="211"/>
      <c r="O454" s="211"/>
    </row>
    <row r="455" spans="1:15" s="208" customFormat="1" ht="20.100000000000001" customHeight="1" x14ac:dyDescent="0.25">
      <c r="A455" s="211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211"/>
      <c r="N455" s="211"/>
      <c r="O455" s="211"/>
    </row>
    <row r="456" spans="1:15" s="208" customFormat="1" ht="20.100000000000001" customHeight="1" x14ac:dyDescent="0.25">
      <c r="A456" s="211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211"/>
      <c r="N456" s="211"/>
      <c r="O456" s="211"/>
    </row>
    <row r="457" spans="1:15" s="208" customFormat="1" ht="20.100000000000001" customHeight="1" x14ac:dyDescent="0.25">
      <c r="A457" s="211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211"/>
      <c r="N457" s="211"/>
      <c r="O457" s="211"/>
    </row>
    <row r="458" spans="1:15" s="208" customFormat="1" ht="20.100000000000001" customHeight="1" x14ac:dyDescent="0.25">
      <c r="A458" s="211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211"/>
      <c r="N458" s="211"/>
      <c r="O458" s="211"/>
    </row>
    <row r="459" spans="1:15" s="208" customFormat="1" ht="20.100000000000001" customHeight="1" x14ac:dyDescent="0.25">
      <c r="A459" s="211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211"/>
      <c r="N459" s="211"/>
      <c r="O459" s="211"/>
    </row>
    <row r="460" spans="1:15" s="208" customFormat="1" ht="20.100000000000001" customHeight="1" x14ac:dyDescent="0.25">
      <c r="A460" s="211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211"/>
      <c r="N460" s="211"/>
      <c r="O460" s="211"/>
    </row>
    <row r="461" spans="1:15" s="208" customFormat="1" ht="20.100000000000001" customHeight="1" x14ac:dyDescent="0.25">
      <c r="A461" s="211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211"/>
      <c r="N461" s="211"/>
      <c r="O461" s="211"/>
    </row>
    <row r="462" spans="1:15" s="208" customFormat="1" ht="20.100000000000001" customHeight="1" x14ac:dyDescent="0.25">
      <c r="A462" s="211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211"/>
      <c r="N462" s="211"/>
      <c r="O462" s="211"/>
    </row>
    <row r="463" spans="1:15" s="208" customFormat="1" ht="20.100000000000001" customHeight="1" x14ac:dyDescent="0.25">
      <c r="A463" s="211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211"/>
      <c r="N463" s="211"/>
      <c r="O463" s="211"/>
    </row>
    <row r="464" spans="1:15" s="208" customFormat="1" ht="45" customHeight="1" x14ac:dyDescent="0.25">
      <c r="A464" s="211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211"/>
      <c r="N464" s="211"/>
      <c r="O464" s="211"/>
    </row>
    <row r="465" spans="1:15" s="208" customFormat="1" ht="18.75" customHeight="1" x14ac:dyDescent="0.25">
      <c r="A465" s="211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210"/>
      <c r="N465" s="210"/>
      <c r="O465" s="210"/>
    </row>
  </sheetData>
  <mergeCells count="184">
    <mergeCell ref="K162:K163"/>
    <mergeCell ref="L162:L163"/>
    <mergeCell ref="B170:H170"/>
    <mergeCell ref="B126:B127"/>
    <mergeCell ref="D126:F126"/>
    <mergeCell ref="J126:J127"/>
    <mergeCell ref="K126:K127"/>
    <mergeCell ref="L126:L127"/>
    <mergeCell ref="B134:H134"/>
    <mergeCell ref="B136:L137"/>
    <mergeCell ref="B138:B139"/>
    <mergeCell ref="D138:F138"/>
    <mergeCell ref="J138:J139"/>
    <mergeCell ref="K138:K139"/>
    <mergeCell ref="L138:L139"/>
    <mergeCell ref="B158:H158"/>
    <mergeCell ref="B160:L161"/>
    <mergeCell ref="B162:B163"/>
    <mergeCell ref="D162:F162"/>
    <mergeCell ref="J162:J163"/>
    <mergeCell ref="K78:K79"/>
    <mergeCell ref="L78:L79"/>
    <mergeCell ref="B86:H86"/>
    <mergeCell ref="B88:L89"/>
    <mergeCell ref="B90:B91"/>
    <mergeCell ref="D90:F90"/>
    <mergeCell ref="J90:J91"/>
    <mergeCell ref="K90:K91"/>
    <mergeCell ref="L90:L91"/>
    <mergeCell ref="B78:B79"/>
    <mergeCell ref="D78:F78"/>
    <mergeCell ref="J78:J79"/>
    <mergeCell ref="B42:B43"/>
    <mergeCell ref="D42:F42"/>
    <mergeCell ref="J42:J43"/>
    <mergeCell ref="K42:K43"/>
    <mergeCell ref="L42:L43"/>
    <mergeCell ref="B50:H50"/>
    <mergeCell ref="B52:L53"/>
    <mergeCell ref="B54:B55"/>
    <mergeCell ref="D54:F54"/>
    <mergeCell ref="J54:J55"/>
    <mergeCell ref="K54:K55"/>
    <mergeCell ref="L54:L55"/>
    <mergeCell ref="B26:H26"/>
    <mergeCell ref="B28:L29"/>
    <mergeCell ref="B30:B31"/>
    <mergeCell ref="D30:F30"/>
    <mergeCell ref="J30:J31"/>
    <mergeCell ref="K30:K31"/>
    <mergeCell ref="L30:L31"/>
    <mergeCell ref="B38:H38"/>
    <mergeCell ref="B40:L41"/>
    <mergeCell ref="B98:H98"/>
    <mergeCell ref="B14:H14"/>
    <mergeCell ref="B2:L2"/>
    <mergeCell ref="B4:L5"/>
    <mergeCell ref="B6:B7"/>
    <mergeCell ref="D6:F6"/>
    <mergeCell ref="J6:J7"/>
    <mergeCell ref="K6:K7"/>
    <mergeCell ref="L6:L7"/>
    <mergeCell ref="B16:L17"/>
    <mergeCell ref="B18:B19"/>
    <mergeCell ref="D18:F18"/>
    <mergeCell ref="J18:J19"/>
    <mergeCell ref="K18:K19"/>
    <mergeCell ref="L18:L19"/>
    <mergeCell ref="B62:H62"/>
    <mergeCell ref="B64:L65"/>
    <mergeCell ref="B66:B67"/>
    <mergeCell ref="D66:F66"/>
    <mergeCell ref="J66:J67"/>
    <mergeCell ref="K66:K67"/>
    <mergeCell ref="L66:L67"/>
    <mergeCell ref="B74:H74"/>
    <mergeCell ref="B76:L77"/>
    <mergeCell ref="B394:L395"/>
    <mergeCell ref="B396:B397"/>
    <mergeCell ref="D396:F396"/>
    <mergeCell ref="B371:H371"/>
    <mergeCell ref="B373:L374"/>
    <mergeCell ref="B268:L269"/>
    <mergeCell ref="B270:B271"/>
    <mergeCell ref="D270:F270"/>
    <mergeCell ref="B245:H245"/>
    <mergeCell ref="B247:L248"/>
    <mergeCell ref="B249:B250"/>
    <mergeCell ref="D249:F249"/>
    <mergeCell ref="J249:J250"/>
    <mergeCell ref="K249:K250"/>
    <mergeCell ref="L249:L250"/>
    <mergeCell ref="B266:H266"/>
    <mergeCell ref="B287:H287"/>
    <mergeCell ref="B289:L290"/>
    <mergeCell ref="B291:B292"/>
    <mergeCell ref="D291:F291"/>
    <mergeCell ref="J291:J292"/>
    <mergeCell ref="K291:K292"/>
    <mergeCell ref="L291:L292"/>
    <mergeCell ref="B329:H329"/>
    <mergeCell ref="B100:L101"/>
    <mergeCell ref="B102:B103"/>
    <mergeCell ref="D102:F102"/>
    <mergeCell ref="J102:J103"/>
    <mergeCell ref="K102:K103"/>
    <mergeCell ref="L102:L103"/>
    <mergeCell ref="B110:H110"/>
    <mergeCell ref="B112:L113"/>
    <mergeCell ref="B114:B115"/>
    <mergeCell ref="D114:F114"/>
    <mergeCell ref="J114:J115"/>
    <mergeCell ref="K114:K115"/>
    <mergeCell ref="L114:L115"/>
    <mergeCell ref="B122:H122"/>
    <mergeCell ref="B124:L125"/>
    <mergeCell ref="B146:H146"/>
    <mergeCell ref="B148:L149"/>
    <mergeCell ref="B150:B151"/>
    <mergeCell ref="D150:F150"/>
    <mergeCell ref="J150:J151"/>
    <mergeCell ref="K150:K151"/>
    <mergeCell ref="L150:L151"/>
    <mergeCell ref="B203:H203"/>
    <mergeCell ref="B205:L206"/>
    <mergeCell ref="B207:B208"/>
    <mergeCell ref="D207:F207"/>
    <mergeCell ref="J207:J208"/>
    <mergeCell ref="K207:K208"/>
    <mergeCell ref="L207:L208"/>
    <mergeCell ref="B182:H182"/>
    <mergeCell ref="B184:L185"/>
    <mergeCell ref="B186:B187"/>
    <mergeCell ref="D186:F186"/>
    <mergeCell ref="J186:J187"/>
    <mergeCell ref="K186:K187"/>
    <mergeCell ref="L186:L187"/>
    <mergeCell ref="B224:H224"/>
    <mergeCell ref="B226:L227"/>
    <mergeCell ref="B228:B229"/>
    <mergeCell ref="D228:F228"/>
    <mergeCell ref="J228:J229"/>
    <mergeCell ref="K228:K229"/>
    <mergeCell ref="L228:L229"/>
    <mergeCell ref="J270:J271"/>
    <mergeCell ref="K270:K271"/>
    <mergeCell ref="L270:L271"/>
    <mergeCell ref="B331:L332"/>
    <mergeCell ref="B333:B334"/>
    <mergeCell ref="D333:F333"/>
    <mergeCell ref="J333:J334"/>
    <mergeCell ref="K333:K334"/>
    <mergeCell ref="L333:L334"/>
    <mergeCell ref="B308:H308"/>
    <mergeCell ref="B310:L311"/>
    <mergeCell ref="B312:B313"/>
    <mergeCell ref="D312:F312"/>
    <mergeCell ref="J312:J313"/>
    <mergeCell ref="K312:K313"/>
    <mergeCell ref="L312:L313"/>
    <mergeCell ref="B375:B376"/>
    <mergeCell ref="D375:F375"/>
    <mergeCell ref="J375:J376"/>
    <mergeCell ref="K375:K376"/>
    <mergeCell ref="L375:L376"/>
    <mergeCell ref="B392:H392"/>
    <mergeCell ref="B350:H350"/>
    <mergeCell ref="B352:L353"/>
    <mergeCell ref="B354:B355"/>
    <mergeCell ref="D354:F354"/>
    <mergeCell ref="J354:J355"/>
    <mergeCell ref="K354:K355"/>
    <mergeCell ref="L354:L355"/>
    <mergeCell ref="B434:H434"/>
    <mergeCell ref="J396:J397"/>
    <mergeCell ref="K396:K397"/>
    <mergeCell ref="L396:L397"/>
    <mergeCell ref="B413:H413"/>
    <mergeCell ref="B415:L416"/>
    <mergeCell ref="B417:B418"/>
    <mergeCell ref="D417:F417"/>
    <mergeCell ref="J417:J418"/>
    <mergeCell ref="K417:K418"/>
    <mergeCell ref="L417:L41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3"/>
  <dimension ref="A1:AG513"/>
  <sheetViews>
    <sheetView zoomScale="70" zoomScaleNormal="70" workbookViewId="0">
      <selection activeCell="F9" sqref="F9"/>
    </sheetView>
  </sheetViews>
  <sheetFormatPr baseColWidth="10" defaultColWidth="11.5703125" defaultRowHeight="15.75" x14ac:dyDescent="0.25"/>
  <cols>
    <col min="1" max="1" width="5.7109375" style="310" customWidth="1"/>
    <col min="2" max="2" width="10.7109375" style="310" customWidth="1"/>
    <col min="3" max="3" width="15.42578125" style="310" customWidth="1"/>
    <col min="4" max="4" width="15.5703125" style="310" customWidth="1"/>
    <col min="5" max="5" width="10.85546875" style="310" customWidth="1"/>
    <col min="6" max="6" width="8.85546875" style="310" customWidth="1"/>
    <col min="7" max="7" width="19.140625" style="310" customWidth="1"/>
    <col min="8" max="10" width="18.7109375" style="310" customWidth="1"/>
    <col min="11" max="11" width="5.7109375" style="310" customWidth="1"/>
    <col min="12" max="13" width="10.7109375" style="310" customWidth="1"/>
    <col min="14" max="14" width="12.28515625" style="310" customWidth="1"/>
    <col min="15" max="15" width="12.5703125" style="310" bestFit="1" customWidth="1"/>
    <col min="16" max="16" width="11.5703125" style="310"/>
    <col min="17" max="33" width="11.5703125" style="306"/>
    <col min="34" max="16384" width="11.5703125" style="310"/>
  </cols>
  <sheetData>
    <row r="1" spans="1:15" ht="15" customHeight="1" x14ac:dyDescent="0.25"/>
    <row r="2" spans="1:15" ht="49.9" customHeight="1" x14ac:dyDescent="0.25"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</row>
    <row r="3" spans="1:15" ht="15" customHeight="1" x14ac:dyDescent="0.25">
      <c r="B3" s="27"/>
      <c r="C3" s="27"/>
      <c r="D3" s="27"/>
      <c r="E3" s="27"/>
      <c r="F3" s="27"/>
      <c r="G3" s="27"/>
      <c r="H3" s="27"/>
      <c r="I3" s="27"/>
      <c r="J3" s="27"/>
    </row>
    <row r="4" spans="1:15" ht="19.899999999999999" customHeight="1" x14ac:dyDescent="0.25">
      <c r="B4" s="550" t="s">
        <v>163</v>
      </c>
      <c r="C4" s="550"/>
      <c r="D4" s="550"/>
      <c r="E4" s="550"/>
      <c r="F4" s="550"/>
      <c r="G4" s="550"/>
      <c r="H4" s="550"/>
      <c r="I4" s="550"/>
      <c r="J4" s="550"/>
      <c r="K4" s="307"/>
      <c r="L4" s="533"/>
      <c r="M4" s="533"/>
      <c r="N4" s="533"/>
      <c r="O4" s="533"/>
    </row>
    <row r="5" spans="1:15" ht="24.75" customHeight="1" thickBot="1" x14ac:dyDescent="0.3">
      <c r="B5" s="550"/>
      <c r="C5" s="550"/>
      <c r="D5" s="550"/>
      <c r="E5" s="550"/>
      <c r="F5" s="550"/>
      <c r="G5" s="550"/>
      <c r="H5" s="550"/>
      <c r="I5" s="550"/>
      <c r="J5" s="550"/>
      <c r="K5" s="307"/>
      <c r="L5" s="533"/>
      <c r="M5" s="533"/>
      <c r="N5" s="533"/>
      <c r="O5" s="533"/>
    </row>
    <row r="6" spans="1:15" ht="30" customHeight="1" x14ac:dyDescent="0.25">
      <c r="A6" s="307"/>
      <c r="B6" s="661" t="s">
        <v>29</v>
      </c>
      <c r="C6" s="319" t="s">
        <v>103</v>
      </c>
      <c r="D6" s="661" t="s">
        <v>154</v>
      </c>
      <c r="E6" s="671" t="s">
        <v>155</v>
      </c>
      <c r="F6" s="661" t="s">
        <v>156</v>
      </c>
      <c r="G6" s="671" t="s">
        <v>162</v>
      </c>
      <c r="H6" s="317" t="s">
        <v>160</v>
      </c>
      <c r="I6" s="657" t="s">
        <v>153</v>
      </c>
      <c r="J6" s="370"/>
      <c r="K6" s="307"/>
      <c r="L6" s="307"/>
      <c r="M6" s="307"/>
      <c r="N6" s="307"/>
      <c r="O6" s="307"/>
    </row>
    <row r="7" spans="1:15" ht="20.100000000000001" customHeight="1" thickBot="1" x14ac:dyDescent="0.3">
      <c r="A7" s="307"/>
      <c r="B7" s="662"/>
      <c r="C7" s="320" t="s">
        <v>109</v>
      </c>
      <c r="D7" s="662"/>
      <c r="E7" s="672"/>
      <c r="F7" s="662"/>
      <c r="G7" s="672"/>
      <c r="H7" s="318" t="s">
        <v>104</v>
      </c>
      <c r="I7" s="658"/>
      <c r="J7" s="370"/>
      <c r="K7" s="307"/>
      <c r="L7" s="307"/>
      <c r="M7" s="307"/>
      <c r="N7" s="307"/>
      <c r="O7" s="307"/>
    </row>
    <row r="8" spans="1:15" ht="20.100000000000001" customHeight="1" thickBot="1" x14ac:dyDescent="0.3">
      <c r="A8" s="307"/>
      <c r="B8" s="479" t="s">
        <v>122</v>
      </c>
      <c r="C8" s="480">
        <f>'Resultados Definitivos'!J8</f>
        <v>0.17715289014437174</v>
      </c>
      <c r="D8" s="479" t="s">
        <v>161</v>
      </c>
      <c r="E8" s="479">
        <v>1</v>
      </c>
      <c r="F8" s="479">
        <v>0.8</v>
      </c>
      <c r="G8" s="477">
        <f>E8*F8</f>
        <v>0.8</v>
      </c>
      <c r="H8" s="481">
        <f>G8*(C8^2/(2*9.806))</f>
        <v>1.2801609825210626E-3</v>
      </c>
      <c r="I8" s="481">
        <f>+H8</f>
        <v>1.2801609825210626E-3</v>
      </c>
      <c r="J8" s="307"/>
      <c r="K8" s="307"/>
      <c r="L8" s="307"/>
      <c r="M8" s="307"/>
      <c r="N8" s="307"/>
      <c r="O8" s="307"/>
    </row>
    <row r="9" spans="1:15" ht="20.100000000000001" customHeight="1" x14ac:dyDescent="0.25">
      <c r="A9" s="307"/>
      <c r="B9" s="663" t="s">
        <v>37</v>
      </c>
      <c r="C9" s="665">
        <f>'Resultados Definitivos'!J9</f>
        <v>5.4657755961427268E-5</v>
      </c>
      <c r="D9" s="372" t="s">
        <v>157</v>
      </c>
      <c r="E9" s="372">
        <v>1</v>
      </c>
      <c r="F9" s="372">
        <v>0.2</v>
      </c>
      <c r="G9" s="476">
        <f t="shared" ref="G9:G41" si="0">E9*F9</f>
        <v>0.2</v>
      </c>
      <c r="H9" s="391">
        <f>G9*($C$9^2/(2*9.806))</f>
        <v>3.046573818824126E-11</v>
      </c>
      <c r="I9" s="656">
        <f>+H9+H10+H11</f>
        <v>4.2652033463537768E-10</v>
      </c>
      <c r="J9" s="309"/>
      <c r="K9" s="307"/>
      <c r="L9" s="222"/>
      <c r="M9" s="198"/>
      <c r="N9" s="34"/>
      <c r="O9" s="308"/>
    </row>
    <row r="10" spans="1:15" ht="20.100000000000001" customHeight="1" x14ac:dyDescent="0.25">
      <c r="A10" s="307"/>
      <c r="B10" s="673"/>
      <c r="C10" s="674"/>
      <c r="D10" s="482" t="s">
        <v>158</v>
      </c>
      <c r="E10" s="482">
        <v>2</v>
      </c>
      <c r="F10" s="482">
        <v>0.4</v>
      </c>
      <c r="G10" s="483">
        <f t="shared" si="0"/>
        <v>0.8</v>
      </c>
      <c r="H10" s="402">
        <f t="shared" ref="H10:H11" si="1">G10*($C$9^2/(2*9.806))</f>
        <v>1.2186295275296504E-10</v>
      </c>
      <c r="I10" s="654"/>
      <c r="J10" s="309"/>
      <c r="K10" s="307"/>
      <c r="L10" s="222"/>
      <c r="M10" s="198"/>
      <c r="N10" s="34"/>
      <c r="O10" s="308"/>
    </row>
    <row r="11" spans="1:15" ht="20.100000000000001" customHeight="1" thickBot="1" x14ac:dyDescent="0.3">
      <c r="A11" s="307"/>
      <c r="B11" s="664"/>
      <c r="C11" s="666"/>
      <c r="D11" s="377" t="s">
        <v>159</v>
      </c>
      <c r="E11" s="377">
        <v>1</v>
      </c>
      <c r="F11" s="377">
        <v>1.8</v>
      </c>
      <c r="G11" s="484">
        <f t="shared" si="0"/>
        <v>1.8</v>
      </c>
      <c r="H11" s="485">
        <f t="shared" si="1"/>
        <v>2.7419164369417138E-10</v>
      </c>
      <c r="I11" s="655"/>
      <c r="J11" s="309"/>
      <c r="K11" s="307"/>
      <c r="L11" s="222"/>
      <c r="M11" s="198"/>
      <c r="N11" s="34"/>
      <c r="O11" s="308"/>
    </row>
    <row r="12" spans="1:15" ht="20.100000000000001" customHeight="1" x14ac:dyDescent="0.25">
      <c r="A12" s="307"/>
      <c r="B12" s="675" t="s">
        <v>38</v>
      </c>
      <c r="C12" s="677">
        <f>'Resultados Definitivos'!J10</f>
        <v>1.7798842720282538E-4</v>
      </c>
      <c r="D12" s="486" t="s">
        <v>159</v>
      </c>
      <c r="E12" s="486">
        <v>1</v>
      </c>
      <c r="F12" s="486">
        <v>1.8</v>
      </c>
      <c r="G12" s="487">
        <f t="shared" si="0"/>
        <v>1.8</v>
      </c>
      <c r="H12" s="391">
        <f>G12*($C$12^2/(2*9.806))</f>
        <v>2.9075965935470043E-9</v>
      </c>
      <c r="I12" s="653">
        <f>+H12+H13</f>
        <v>4.1998617462345615E-9</v>
      </c>
      <c r="J12" s="309"/>
      <c r="K12" s="307"/>
      <c r="L12" s="222"/>
      <c r="M12" s="198"/>
      <c r="N12" s="33"/>
      <c r="O12" s="309"/>
    </row>
    <row r="13" spans="1:15" ht="20.100000000000001" customHeight="1" thickBot="1" x14ac:dyDescent="0.3">
      <c r="A13" s="307"/>
      <c r="B13" s="676"/>
      <c r="C13" s="678"/>
      <c r="D13" s="374" t="s">
        <v>158</v>
      </c>
      <c r="E13" s="374">
        <v>2</v>
      </c>
      <c r="F13" s="374">
        <v>0.4</v>
      </c>
      <c r="G13" s="438">
        <f t="shared" si="0"/>
        <v>0.8</v>
      </c>
      <c r="H13" s="485">
        <f>G13*($C$12^2/(2*9.806))</f>
        <v>1.2922651526875574E-9</v>
      </c>
      <c r="I13" s="655"/>
      <c r="J13" s="309"/>
      <c r="K13" s="307"/>
      <c r="L13" s="222"/>
      <c r="M13" s="198"/>
      <c r="N13" s="33"/>
      <c r="O13" s="309"/>
    </row>
    <row r="14" spans="1:15" ht="20.100000000000001" customHeight="1" x14ac:dyDescent="0.25">
      <c r="B14" s="663" t="s">
        <v>39</v>
      </c>
      <c r="C14" s="665">
        <f>'Resultados Definitivos'!J11</f>
        <v>1.6943954718598436E-4</v>
      </c>
      <c r="D14" s="372" t="s">
        <v>158</v>
      </c>
      <c r="E14" s="372">
        <v>6</v>
      </c>
      <c r="F14" s="372">
        <v>0.4</v>
      </c>
      <c r="G14" s="372">
        <f t="shared" si="0"/>
        <v>2.4000000000000004</v>
      </c>
      <c r="H14" s="488">
        <f>G14*($C$14^2/(2*9.806))</f>
        <v>3.5133298165112908E-9</v>
      </c>
      <c r="I14" s="653">
        <f>+H14+H15</f>
        <v>6.1483271788947579E-9</v>
      </c>
      <c r="J14" s="309"/>
      <c r="K14" s="307"/>
      <c r="L14" s="222"/>
      <c r="M14" s="198"/>
      <c r="N14" s="33"/>
      <c r="O14" s="309"/>
    </row>
    <row r="15" spans="1:15" ht="20.100000000000001" customHeight="1" thickBot="1" x14ac:dyDescent="0.3">
      <c r="B15" s="676"/>
      <c r="C15" s="679"/>
      <c r="D15" s="374" t="s">
        <v>159</v>
      </c>
      <c r="E15" s="374">
        <v>1</v>
      </c>
      <c r="F15" s="374">
        <v>1.8</v>
      </c>
      <c r="G15" s="374">
        <f t="shared" si="0"/>
        <v>1.8</v>
      </c>
      <c r="H15" s="489">
        <f>G15*($C$14^2/(2*9.806))</f>
        <v>2.6349973623834675E-9</v>
      </c>
      <c r="I15" s="655"/>
      <c r="J15" s="309"/>
      <c r="K15" s="307"/>
      <c r="L15" s="222"/>
      <c r="M15" s="198"/>
      <c r="N15" s="33"/>
      <c r="O15" s="309"/>
    </row>
    <row r="16" spans="1:15" ht="20.100000000000001" customHeight="1" x14ac:dyDescent="0.25">
      <c r="B16" s="663" t="s">
        <v>64</v>
      </c>
      <c r="C16" s="677">
        <f>'Resultados Definitivos'!J12</f>
        <v>1.6448421901585326E-4</v>
      </c>
      <c r="D16" s="372" t="s">
        <v>159</v>
      </c>
      <c r="E16" s="476">
        <v>1</v>
      </c>
      <c r="F16" s="372">
        <v>1.8</v>
      </c>
      <c r="G16" s="476">
        <f t="shared" si="0"/>
        <v>1.8</v>
      </c>
      <c r="H16" s="391">
        <f>G16*($C$16^2/(2*9.806))</f>
        <v>2.4831279293014141E-9</v>
      </c>
      <c r="I16" s="653">
        <f>+H16+H17</f>
        <v>3.5867403423242648E-9</v>
      </c>
      <c r="J16" s="309"/>
      <c r="K16" s="307"/>
      <c r="L16" s="222"/>
      <c r="M16" s="198"/>
      <c r="N16" s="33"/>
      <c r="O16" s="309"/>
    </row>
    <row r="17" spans="2:33" ht="20.100000000000001" customHeight="1" thickBot="1" x14ac:dyDescent="0.3">
      <c r="B17" s="676"/>
      <c r="C17" s="678"/>
      <c r="D17" s="374" t="s">
        <v>158</v>
      </c>
      <c r="E17" s="438">
        <v>2</v>
      </c>
      <c r="F17" s="374">
        <v>0.4</v>
      </c>
      <c r="G17" s="438">
        <f t="shared" si="0"/>
        <v>0.8</v>
      </c>
      <c r="H17" s="485">
        <f>G17*($C$16^2/(2*9.806))</f>
        <v>1.1036124130228508E-9</v>
      </c>
      <c r="I17" s="655"/>
      <c r="J17" s="309"/>
      <c r="K17" s="307"/>
      <c r="L17" s="222"/>
      <c r="M17" s="198"/>
      <c r="N17" s="33"/>
      <c r="O17" s="309"/>
    </row>
    <row r="18" spans="2:33" ht="20.100000000000001" customHeight="1" x14ac:dyDescent="0.25">
      <c r="B18" s="663" t="s">
        <v>65</v>
      </c>
      <c r="C18" s="665">
        <f>'Resultados Definitivos'!J13</f>
        <v>1.7195782015315492E-4</v>
      </c>
      <c r="D18" s="476" t="s">
        <v>159</v>
      </c>
      <c r="E18" s="372">
        <v>1</v>
      </c>
      <c r="F18" s="476">
        <v>1.8</v>
      </c>
      <c r="G18" s="372">
        <f t="shared" si="0"/>
        <v>1.8</v>
      </c>
      <c r="H18" s="488">
        <f>G18*($C$18^2/(2*9.806))</f>
        <v>2.7139040098554251E-9</v>
      </c>
      <c r="I18" s="653">
        <f>+H18+H19</f>
        <v>3.9200835697911695E-9</v>
      </c>
      <c r="J18" s="309"/>
      <c r="K18" s="307"/>
      <c r="L18" s="222"/>
      <c r="M18" s="198"/>
      <c r="N18" s="33"/>
      <c r="O18" s="309"/>
    </row>
    <row r="19" spans="2:33" ht="20.100000000000001" customHeight="1" thickBot="1" x14ac:dyDescent="0.3">
      <c r="B19" s="664"/>
      <c r="C19" s="666"/>
      <c r="D19" s="484" t="s">
        <v>161</v>
      </c>
      <c r="E19" s="377">
        <v>1</v>
      </c>
      <c r="F19" s="484">
        <v>0.8</v>
      </c>
      <c r="G19" s="377">
        <f t="shared" si="0"/>
        <v>0.8</v>
      </c>
      <c r="H19" s="490">
        <f>G19*($C$18^2/(2*9.806))</f>
        <v>1.2061795599357446E-9</v>
      </c>
      <c r="I19" s="655"/>
      <c r="J19" s="309"/>
      <c r="K19" s="307"/>
      <c r="L19" s="222"/>
      <c r="M19" s="198"/>
      <c r="N19" s="33"/>
      <c r="O19" s="309"/>
    </row>
    <row r="20" spans="2:33" ht="20.100000000000001" customHeight="1" thickBot="1" x14ac:dyDescent="0.3">
      <c r="B20" s="491" t="s">
        <v>61</v>
      </c>
      <c r="C20" s="480">
        <f>'Resultados Definitivos'!J14</f>
        <v>2.0332715025596728E-4</v>
      </c>
      <c r="D20" s="479" t="s">
        <v>159</v>
      </c>
      <c r="E20" s="479">
        <v>1</v>
      </c>
      <c r="F20" s="479">
        <v>1.8</v>
      </c>
      <c r="G20" s="479">
        <f t="shared" si="0"/>
        <v>1.8</v>
      </c>
      <c r="H20" s="492">
        <f t="shared" ref="H20:H33" si="2">G20*(C20^2/(2*9.806))</f>
        <v>3.7943847672946601E-9</v>
      </c>
      <c r="I20" s="402">
        <f>+H20</f>
        <v>3.7943847672946601E-9</v>
      </c>
      <c r="J20" s="309"/>
      <c r="K20" s="307"/>
      <c r="L20" s="222"/>
      <c r="M20" s="198"/>
      <c r="N20" s="33"/>
      <c r="O20" s="309"/>
    </row>
    <row r="21" spans="2:33" ht="20.100000000000001" customHeight="1" x14ac:dyDescent="0.25">
      <c r="B21" s="663" t="s">
        <v>143</v>
      </c>
      <c r="C21" s="665">
        <f>'Resultados Definitivos'!J15</f>
        <v>1.910118240554332E-4</v>
      </c>
      <c r="D21" s="476" t="s">
        <v>159</v>
      </c>
      <c r="E21" s="372">
        <v>1</v>
      </c>
      <c r="F21" s="476">
        <v>1.8</v>
      </c>
      <c r="G21" s="372">
        <f t="shared" si="0"/>
        <v>1.8</v>
      </c>
      <c r="H21" s="488">
        <f>G21*($C$21^2/(2*9.806))</f>
        <v>3.3486605380466451E-9</v>
      </c>
      <c r="I21" s="653">
        <f>+H21+H22</f>
        <v>4.8369541105118203E-9</v>
      </c>
      <c r="J21" s="309"/>
      <c r="K21" s="307"/>
      <c r="L21" s="222"/>
      <c r="M21" s="198"/>
      <c r="N21" s="33"/>
      <c r="O21" s="309"/>
    </row>
    <row r="22" spans="2:33" s="314" customFormat="1" ht="20.100000000000001" customHeight="1" thickBot="1" x14ac:dyDescent="0.3">
      <c r="B22" s="664"/>
      <c r="C22" s="666"/>
      <c r="D22" s="484" t="s">
        <v>158</v>
      </c>
      <c r="E22" s="377">
        <v>2</v>
      </c>
      <c r="F22" s="484">
        <v>0.4</v>
      </c>
      <c r="G22" s="377">
        <f t="shared" si="0"/>
        <v>0.8</v>
      </c>
      <c r="H22" s="490">
        <f>G22*($C$21^2/(2*9.806))</f>
        <v>1.4882935724651757E-9</v>
      </c>
      <c r="I22" s="655"/>
      <c r="J22" s="313"/>
      <c r="K22" s="312"/>
      <c r="L22" s="222"/>
      <c r="M22" s="198"/>
      <c r="N22" s="315"/>
      <c r="O22" s="313"/>
      <c r="Q22" s="311"/>
      <c r="R22" s="311"/>
      <c r="S22" s="311"/>
      <c r="T22" s="311"/>
      <c r="U22" s="311"/>
      <c r="V22" s="311"/>
      <c r="W22" s="311"/>
      <c r="X22" s="311"/>
      <c r="Y22" s="311"/>
      <c r="Z22" s="311"/>
      <c r="AA22" s="311"/>
      <c r="AB22" s="311"/>
      <c r="AC22" s="311"/>
      <c r="AD22" s="311"/>
      <c r="AE22" s="311"/>
      <c r="AF22" s="311"/>
      <c r="AG22" s="311"/>
    </row>
    <row r="23" spans="2:33" ht="20.100000000000001" customHeight="1" thickBot="1" x14ac:dyDescent="0.3">
      <c r="B23" s="493" t="s">
        <v>141</v>
      </c>
      <c r="C23" s="480">
        <f>'Resultados Definitivos'!J16</f>
        <v>1.4824378748074434E-3</v>
      </c>
      <c r="D23" s="479" t="s">
        <v>157</v>
      </c>
      <c r="E23" s="479">
        <v>1</v>
      </c>
      <c r="F23" s="479">
        <v>0.2</v>
      </c>
      <c r="G23" s="479">
        <f t="shared" si="0"/>
        <v>0.2</v>
      </c>
      <c r="H23" s="494">
        <f t="shared" si="2"/>
        <v>2.2410993806481843E-8</v>
      </c>
      <c r="I23" s="402">
        <f>+H23</f>
        <v>2.2410993806481843E-8</v>
      </c>
      <c r="J23" s="309"/>
      <c r="K23" s="307"/>
      <c r="L23" s="222"/>
      <c r="M23" s="198"/>
      <c r="N23" s="33"/>
      <c r="O23" s="309"/>
    </row>
    <row r="24" spans="2:33" ht="20.100000000000001" customHeight="1" x14ac:dyDescent="0.25">
      <c r="B24" s="667" t="s">
        <v>85</v>
      </c>
      <c r="C24" s="665">
        <f>'Resultados Definitivos'!J17</f>
        <v>2.4345884289795312E-4</v>
      </c>
      <c r="D24" s="476" t="s">
        <v>159</v>
      </c>
      <c r="E24" s="372">
        <v>1</v>
      </c>
      <c r="F24" s="476">
        <v>1.8</v>
      </c>
      <c r="G24" s="372">
        <f t="shared" si="0"/>
        <v>1.8</v>
      </c>
      <c r="H24" s="488">
        <f>G24*($C$24^2/(2*9.806))</f>
        <v>5.4400354238924336E-9</v>
      </c>
      <c r="I24" s="653">
        <f>+H24+H25</f>
        <v>1.0275622467352375E-8</v>
      </c>
      <c r="J24" s="309"/>
      <c r="K24" s="307"/>
      <c r="L24" s="222"/>
      <c r="M24" s="198"/>
      <c r="N24" s="33"/>
      <c r="O24" s="309"/>
    </row>
    <row r="25" spans="2:33" s="314" customFormat="1" ht="20.100000000000001" customHeight="1" thickBot="1" x14ac:dyDescent="0.3">
      <c r="B25" s="668"/>
      <c r="C25" s="666"/>
      <c r="D25" s="484" t="s">
        <v>158</v>
      </c>
      <c r="E25" s="377">
        <v>4</v>
      </c>
      <c r="F25" s="484">
        <v>0.4</v>
      </c>
      <c r="G25" s="377">
        <f t="shared" si="0"/>
        <v>1.6</v>
      </c>
      <c r="H25" s="490">
        <f>G25*($C$24^2/(2*9.806))</f>
        <v>4.8355870434599413E-9</v>
      </c>
      <c r="I25" s="655"/>
      <c r="J25" s="313"/>
      <c r="K25" s="312"/>
      <c r="L25" s="222"/>
      <c r="M25" s="198"/>
      <c r="N25" s="315"/>
      <c r="O25" s="313"/>
      <c r="Q25" s="311"/>
      <c r="R25" s="311"/>
      <c r="S25" s="311"/>
      <c r="T25" s="311"/>
      <c r="U25" s="311"/>
      <c r="V25" s="311"/>
      <c r="W25" s="311"/>
      <c r="X25" s="311"/>
      <c r="Y25" s="311"/>
      <c r="Z25" s="311"/>
      <c r="AA25" s="311"/>
      <c r="AB25" s="311"/>
      <c r="AC25" s="311"/>
      <c r="AD25" s="311"/>
      <c r="AE25" s="311"/>
      <c r="AF25" s="311"/>
      <c r="AG25" s="311"/>
    </row>
    <row r="26" spans="2:33" ht="20.100000000000001" customHeight="1" thickBot="1" x14ac:dyDescent="0.3">
      <c r="B26" s="495" t="s">
        <v>86</v>
      </c>
      <c r="C26" s="496">
        <f>'Resultados Definitivos'!J18</f>
        <v>4.8080700769418677E-5</v>
      </c>
      <c r="D26" s="497" t="s">
        <v>159</v>
      </c>
      <c r="E26" s="497">
        <v>1</v>
      </c>
      <c r="F26" s="497">
        <v>1.8</v>
      </c>
      <c r="G26" s="497">
        <f t="shared" si="0"/>
        <v>1.8</v>
      </c>
      <c r="H26" s="498">
        <f t="shared" si="2"/>
        <v>2.1217401670717314E-10</v>
      </c>
      <c r="I26" s="402">
        <f>+H26</f>
        <v>2.1217401670717314E-10</v>
      </c>
      <c r="J26" s="309"/>
      <c r="K26" s="307"/>
      <c r="L26" s="222"/>
      <c r="M26" s="198"/>
      <c r="N26" s="33"/>
      <c r="O26" s="309"/>
    </row>
    <row r="27" spans="2:33" ht="20.100000000000001" customHeight="1" thickBot="1" x14ac:dyDescent="0.3">
      <c r="B27" s="493" t="s">
        <v>142</v>
      </c>
      <c r="C27" s="480">
        <f>'Resultados Definitivos'!J19</f>
        <v>1.3380440218007706E-4</v>
      </c>
      <c r="D27" s="479" t="s">
        <v>159</v>
      </c>
      <c r="E27" s="479">
        <v>1</v>
      </c>
      <c r="F27" s="479">
        <v>1.8</v>
      </c>
      <c r="G27" s="479">
        <f t="shared" si="0"/>
        <v>1.8</v>
      </c>
      <c r="H27" s="494">
        <f t="shared" si="2"/>
        <v>1.6432037771253347E-9</v>
      </c>
      <c r="I27" s="402">
        <f>+H27</f>
        <v>1.6432037771253347E-9</v>
      </c>
      <c r="J27" s="309"/>
      <c r="K27" s="307"/>
      <c r="L27" s="222"/>
      <c r="M27" s="198"/>
      <c r="N27" s="33"/>
      <c r="O27" s="309"/>
    </row>
    <row r="28" spans="2:33" ht="20.100000000000001" customHeight="1" x14ac:dyDescent="0.25">
      <c r="B28" s="667" t="s">
        <v>144</v>
      </c>
      <c r="C28" s="665">
        <f>'Resultados Definitivos'!J20</f>
        <v>7.1537776464945999E-5</v>
      </c>
      <c r="D28" s="476" t="s">
        <v>159</v>
      </c>
      <c r="E28" s="372">
        <v>1</v>
      </c>
      <c r="F28" s="476">
        <v>1.8</v>
      </c>
      <c r="G28" s="372">
        <f t="shared" si="0"/>
        <v>1.8</v>
      </c>
      <c r="H28" s="488">
        <f>G28*($C$28^2/(2*9.806))</f>
        <v>4.6970101115579485E-10</v>
      </c>
      <c r="I28" s="653">
        <f>+H28+H29+H30</f>
        <v>6.2626801487439314E-10</v>
      </c>
      <c r="J28" s="309"/>
      <c r="K28" s="307"/>
      <c r="L28" s="222"/>
      <c r="M28" s="198"/>
      <c r="N28" s="33"/>
      <c r="O28" s="309"/>
    </row>
    <row r="29" spans="2:33" s="314" customFormat="1" ht="20.100000000000001" customHeight="1" x14ac:dyDescent="0.25">
      <c r="B29" s="669"/>
      <c r="C29" s="674"/>
      <c r="D29" s="483" t="s">
        <v>164</v>
      </c>
      <c r="E29" s="482">
        <v>1</v>
      </c>
      <c r="F29" s="483">
        <v>0.2</v>
      </c>
      <c r="G29" s="482">
        <f t="shared" si="0"/>
        <v>0.2</v>
      </c>
      <c r="H29" s="499">
        <f t="shared" ref="H29:H30" si="3">G29*($C$28^2/(2*9.806))</f>
        <v>5.2189001239532759E-11</v>
      </c>
      <c r="I29" s="654"/>
      <c r="J29" s="313"/>
      <c r="K29" s="312"/>
      <c r="L29" s="222"/>
      <c r="M29" s="198"/>
      <c r="N29" s="315"/>
      <c r="O29" s="313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  <c r="AD29" s="311"/>
      <c r="AE29" s="311"/>
      <c r="AF29" s="311"/>
      <c r="AG29" s="311"/>
    </row>
    <row r="30" spans="2:33" s="314" customFormat="1" ht="20.100000000000001" customHeight="1" thickBot="1" x14ac:dyDescent="0.3">
      <c r="B30" s="670"/>
      <c r="C30" s="679"/>
      <c r="D30" s="438" t="s">
        <v>158</v>
      </c>
      <c r="E30" s="374">
        <v>1</v>
      </c>
      <c r="F30" s="438">
        <v>0.4</v>
      </c>
      <c r="G30" s="374">
        <f t="shared" si="0"/>
        <v>0.4</v>
      </c>
      <c r="H30" s="489">
        <f t="shared" si="3"/>
        <v>1.0437800247906552E-10</v>
      </c>
      <c r="I30" s="655"/>
      <c r="J30" s="313"/>
      <c r="K30" s="312"/>
      <c r="L30" s="222"/>
      <c r="M30" s="198"/>
      <c r="N30" s="315"/>
      <c r="O30" s="313"/>
      <c r="Q30" s="311"/>
      <c r="R30" s="311"/>
      <c r="S30" s="311"/>
      <c r="T30" s="311"/>
      <c r="U30" s="311"/>
      <c r="V30" s="311"/>
      <c r="W30" s="311"/>
      <c r="X30" s="311"/>
      <c r="Y30" s="311"/>
      <c r="Z30" s="311"/>
      <c r="AA30" s="311"/>
      <c r="AB30" s="311"/>
      <c r="AC30" s="311"/>
      <c r="AD30" s="311"/>
      <c r="AE30" s="311"/>
      <c r="AF30" s="311"/>
      <c r="AG30" s="311"/>
    </row>
    <row r="31" spans="2:33" ht="20.100000000000001" customHeight="1" x14ac:dyDescent="0.25">
      <c r="B31" s="667" t="s">
        <v>40</v>
      </c>
      <c r="C31" s="665">
        <f>'Resultados Definitivos'!J21</f>
        <v>3.9982143935498575E-5</v>
      </c>
      <c r="D31" s="476" t="s">
        <v>159</v>
      </c>
      <c r="E31" s="372">
        <v>1</v>
      </c>
      <c r="F31" s="476">
        <v>1.8</v>
      </c>
      <c r="G31" s="372">
        <f t="shared" si="0"/>
        <v>1.8</v>
      </c>
      <c r="H31" s="488">
        <f>G31*($C$31^2/(2*9.806))</f>
        <v>1.4671779016021141E-10</v>
      </c>
      <c r="I31" s="653">
        <f>+H31+H32</f>
        <v>1.7932174352914727E-10</v>
      </c>
      <c r="J31" s="309"/>
      <c r="K31" s="307"/>
      <c r="L31" s="222"/>
      <c r="M31" s="198"/>
      <c r="N31" s="33"/>
      <c r="O31" s="309"/>
    </row>
    <row r="32" spans="2:33" s="314" customFormat="1" ht="20.100000000000001" customHeight="1" thickBot="1" x14ac:dyDescent="0.3">
      <c r="B32" s="670"/>
      <c r="C32" s="679"/>
      <c r="D32" s="438" t="s">
        <v>158</v>
      </c>
      <c r="E32" s="374">
        <v>1</v>
      </c>
      <c r="F32" s="438">
        <v>0.4</v>
      </c>
      <c r="G32" s="374">
        <f t="shared" si="0"/>
        <v>0.4</v>
      </c>
      <c r="H32" s="489">
        <f>G32*($C$31^2/(2*9.806))</f>
        <v>3.2603953368935869E-11</v>
      </c>
      <c r="I32" s="655"/>
      <c r="J32" s="313"/>
      <c r="K32" s="312"/>
      <c r="L32" s="222"/>
      <c r="M32" s="198"/>
      <c r="N32" s="315"/>
      <c r="O32" s="313"/>
      <c r="Q32" s="311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</row>
    <row r="33" spans="2:33" ht="20.100000000000001" customHeight="1" thickBot="1" x14ac:dyDescent="0.3">
      <c r="B33" s="491" t="s">
        <v>145</v>
      </c>
      <c r="C33" s="480">
        <f>'Resultados Definitivos'!J22</f>
        <v>8.1533866214413057E-5</v>
      </c>
      <c r="D33" s="477" t="s">
        <v>159</v>
      </c>
      <c r="E33" s="479">
        <v>1</v>
      </c>
      <c r="F33" s="479">
        <v>1.8</v>
      </c>
      <c r="G33" s="479">
        <f t="shared" si="0"/>
        <v>1.8</v>
      </c>
      <c r="H33" s="492">
        <f t="shared" si="2"/>
        <v>6.1013606015529546E-10</v>
      </c>
      <c r="I33" s="402">
        <f>+H33</f>
        <v>6.1013606015529546E-10</v>
      </c>
      <c r="J33" s="309"/>
      <c r="K33" s="307"/>
      <c r="L33" s="222"/>
      <c r="M33" s="198"/>
      <c r="N33" s="33"/>
      <c r="O33" s="309"/>
    </row>
    <row r="34" spans="2:33" ht="20.100000000000001" customHeight="1" x14ac:dyDescent="0.25">
      <c r="B34" s="663" t="s">
        <v>146</v>
      </c>
      <c r="C34" s="665">
        <f>'Resultados Definitivos'!J23</f>
        <v>9.7291859885568878E-5</v>
      </c>
      <c r="D34" s="476" t="s">
        <v>159</v>
      </c>
      <c r="E34" s="372">
        <v>1</v>
      </c>
      <c r="F34" s="476">
        <v>1.8</v>
      </c>
      <c r="G34" s="372">
        <f t="shared" si="0"/>
        <v>1.8</v>
      </c>
      <c r="H34" s="488">
        <f>G34*($C$34^2/(2*9.806))</f>
        <v>8.6876763206137573E-10</v>
      </c>
      <c r="I34" s="653">
        <f>+H34+H35+H36</f>
        <v>2.1236542117055854E-9</v>
      </c>
      <c r="J34" s="309"/>
      <c r="K34" s="307"/>
      <c r="L34" s="222"/>
      <c r="M34" s="198"/>
      <c r="N34" s="33"/>
      <c r="O34" s="309"/>
    </row>
    <row r="35" spans="2:33" s="314" customFormat="1" ht="20.100000000000001" customHeight="1" x14ac:dyDescent="0.25">
      <c r="B35" s="673"/>
      <c r="C35" s="674"/>
      <c r="D35" s="483" t="s">
        <v>157</v>
      </c>
      <c r="E35" s="482">
        <v>1</v>
      </c>
      <c r="F35" s="483">
        <v>0.2</v>
      </c>
      <c r="G35" s="482">
        <f t="shared" si="0"/>
        <v>0.2</v>
      </c>
      <c r="H35" s="499">
        <f t="shared" ref="H35:H36" si="4">G35*($C$34^2/(2*9.806))</f>
        <v>9.6529736895708421E-11</v>
      </c>
      <c r="I35" s="654"/>
      <c r="J35" s="313"/>
      <c r="K35" s="312"/>
      <c r="L35" s="222"/>
      <c r="M35" s="198"/>
      <c r="N35" s="315"/>
      <c r="O35" s="313"/>
      <c r="Q35" s="311"/>
      <c r="R35" s="311"/>
      <c r="S35" s="311"/>
      <c r="T35" s="311"/>
      <c r="U35" s="311"/>
      <c r="V35" s="311"/>
      <c r="W35" s="311"/>
      <c r="X35" s="311"/>
      <c r="Y35" s="311"/>
      <c r="Z35" s="311"/>
      <c r="AA35" s="311"/>
      <c r="AB35" s="311"/>
      <c r="AC35" s="311"/>
      <c r="AD35" s="311"/>
      <c r="AE35" s="311"/>
      <c r="AF35" s="311"/>
      <c r="AG35" s="311"/>
    </row>
    <row r="36" spans="2:33" s="314" customFormat="1" ht="20.100000000000001" customHeight="1" thickBot="1" x14ac:dyDescent="0.3">
      <c r="B36" s="676"/>
      <c r="C36" s="679"/>
      <c r="D36" s="438" t="s">
        <v>158</v>
      </c>
      <c r="E36" s="374">
        <v>6</v>
      </c>
      <c r="F36" s="438">
        <v>0.4</v>
      </c>
      <c r="G36" s="374">
        <f t="shared" si="0"/>
        <v>2.4000000000000004</v>
      </c>
      <c r="H36" s="489">
        <f t="shared" si="4"/>
        <v>1.158356842748501E-9</v>
      </c>
      <c r="I36" s="655"/>
      <c r="J36" s="313"/>
      <c r="K36" s="312"/>
      <c r="L36" s="222"/>
      <c r="M36" s="198"/>
      <c r="N36" s="315"/>
      <c r="O36" s="313"/>
      <c r="Q36" s="311"/>
      <c r="R36" s="311"/>
      <c r="S36" s="311"/>
      <c r="T36" s="311"/>
      <c r="U36" s="311"/>
      <c r="V36" s="311"/>
      <c r="W36" s="311"/>
      <c r="X36" s="311"/>
      <c r="Y36" s="311"/>
      <c r="Z36" s="311"/>
      <c r="AA36" s="311"/>
      <c r="AB36" s="311"/>
      <c r="AC36" s="311"/>
      <c r="AD36" s="311"/>
      <c r="AE36" s="311"/>
      <c r="AF36" s="311"/>
      <c r="AG36" s="311"/>
    </row>
    <row r="37" spans="2:33" ht="20.100000000000001" customHeight="1" x14ac:dyDescent="0.25">
      <c r="B37" s="667" t="s">
        <v>147</v>
      </c>
      <c r="C37" s="677">
        <f>'Resultados Definitivos'!J24</f>
        <v>1.9481576106254128E-5</v>
      </c>
      <c r="D37" s="476" t="s">
        <v>159</v>
      </c>
      <c r="E37" s="372">
        <v>1</v>
      </c>
      <c r="F37" s="476">
        <v>1.8</v>
      </c>
      <c r="G37" s="372">
        <f t="shared" si="0"/>
        <v>1.8</v>
      </c>
      <c r="H37" s="488">
        <f>G37*($C$37^2/(2*9.806))</f>
        <v>3.483363520552668E-11</v>
      </c>
      <c r="I37" s="653">
        <f>+H37+H38</f>
        <v>1.0450090561658004E-10</v>
      </c>
      <c r="J37" s="309"/>
      <c r="K37" s="307"/>
      <c r="L37" s="222"/>
      <c r="M37" s="198"/>
      <c r="N37" s="33"/>
      <c r="O37" s="309"/>
    </row>
    <row r="38" spans="2:33" s="314" customFormat="1" ht="20.100000000000001" customHeight="1" thickBot="1" x14ac:dyDescent="0.3">
      <c r="B38" s="670"/>
      <c r="C38" s="678"/>
      <c r="D38" s="438" t="s">
        <v>158</v>
      </c>
      <c r="E38" s="374">
        <v>9</v>
      </c>
      <c r="F38" s="438">
        <v>0.4</v>
      </c>
      <c r="G38" s="374">
        <f t="shared" si="0"/>
        <v>3.6</v>
      </c>
      <c r="H38" s="489">
        <f>G38*($C$37^2/(2*9.806))</f>
        <v>6.9667270411053361E-11</v>
      </c>
      <c r="I38" s="655"/>
      <c r="J38" s="313"/>
      <c r="K38" s="312"/>
      <c r="L38" s="222"/>
      <c r="M38" s="198"/>
      <c r="N38" s="315"/>
      <c r="O38" s="313"/>
      <c r="Q38" s="311"/>
      <c r="R38" s="311"/>
      <c r="S38" s="311"/>
      <c r="T38" s="311"/>
      <c r="U38" s="311"/>
      <c r="V38" s="311"/>
      <c r="W38" s="311"/>
      <c r="X38" s="311"/>
      <c r="Y38" s="311"/>
      <c r="Z38" s="311"/>
      <c r="AA38" s="311"/>
      <c r="AB38" s="311"/>
      <c r="AC38" s="311"/>
      <c r="AD38" s="311"/>
      <c r="AE38" s="311"/>
      <c r="AF38" s="311"/>
      <c r="AG38" s="311"/>
    </row>
    <row r="39" spans="2:33" ht="20.100000000000001" customHeight="1" x14ac:dyDescent="0.25">
      <c r="B39" s="667" t="s">
        <v>148</v>
      </c>
      <c r="C39" s="665">
        <f>'Resultados Definitivos'!J25</f>
        <v>4.4797207255358053E-4</v>
      </c>
      <c r="D39" s="476" t="s">
        <v>157</v>
      </c>
      <c r="E39" s="372">
        <v>1</v>
      </c>
      <c r="F39" s="500">
        <v>0.2</v>
      </c>
      <c r="G39" s="475">
        <f t="shared" si="0"/>
        <v>0.2</v>
      </c>
      <c r="H39" s="501">
        <f>G39*($C$39^2/(2*9.806))</f>
        <v>2.0464917171930497E-9</v>
      </c>
      <c r="I39" s="653">
        <f>+H39+H40+H41</f>
        <v>4.5022817778247099E-8</v>
      </c>
      <c r="J39" s="309"/>
      <c r="K39" s="307"/>
      <c r="L39" s="659"/>
      <c r="M39" s="659"/>
      <c r="N39" s="660"/>
      <c r="O39" s="539"/>
    </row>
    <row r="40" spans="2:33" ht="19.899999999999999" customHeight="1" x14ac:dyDescent="0.25">
      <c r="B40" s="669"/>
      <c r="C40" s="674"/>
      <c r="D40" s="483" t="s">
        <v>158</v>
      </c>
      <c r="E40" s="482">
        <v>6</v>
      </c>
      <c r="F40" s="502">
        <v>0.4</v>
      </c>
      <c r="G40" s="453">
        <f>E40*F40</f>
        <v>2.4000000000000004</v>
      </c>
      <c r="H40" s="503">
        <f t="shared" ref="H40:H41" si="5">G40*($C$39^2/(2*9.806))</f>
        <v>2.4557900606316601E-8</v>
      </c>
      <c r="I40" s="654"/>
      <c r="J40" s="371"/>
      <c r="K40" s="307"/>
      <c r="L40" s="659"/>
      <c r="M40" s="659"/>
      <c r="N40" s="660"/>
      <c r="O40" s="539"/>
    </row>
    <row r="41" spans="2:33" ht="19.899999999999999" customHeight="1" thickBot="1" x14ac:dyDescent="0.3">
      <c r="B41" s="668"/>
      <c r="C41" s="666"/>
      <c r="D41" s="484" t="s">
        <v>159</v>
      </c>
      <c r="E41" s="377">
        <v>1</v>
      </c>
      <c r="F41" s="504">
        <v>1.8</v>
      </c>
      <c r="G41" s="379">
        <f t="shared" si="0"/>
        <v>1.8</v>
      </c>
      <c r="H41" s="505">
        <f t="shared" si="5"/>
        <v>1.8418425454737449E-8</v>
      </c>
      <c r="I41" s="655"/>
      <c r="J41" s="371"/>
      <c r="K41" s="307"/>
      <c r="L41" s="659"/>
      <c r="M41" s="659"/>
      <c r="N41" s="660"/>
      <c r="O41" s="539"/>
    </row>
    <row r="42" spans="2:33" ht="19.899999999999999" customHeight="1" x14ac:dyDescent="0.25">
      <c r="B42" s="307"/>
      <c r="C42" s="307"/>
      <c r="D42" s="307"/>
      <c r="E42" s="307"/>
      <c r="F42" s="307"/>
      <c r="G42" s="222"/>
      <c r="H42" s="198"/>
      <c r="I42" s="198"/>
      <c r="J42" s="309"/>
      <c r="K42" s="307"/>
      <c r="L42" s="222"/>
      <c r="M42" s="198"/>
      <c r="N42" s="33"/>
      <c r="O42" s="309"/>
    </row>
    <row r="43" spans="2:33" ht="19.899999999999999" customHeight="1" x14ac:dyDescent="0.25">
      <c r="B43" s="307"/>
      <c r="C43" s="307"/>
      <c r="D43" s="307"/>
      <c r="E43" s="307"/>
      <c r="F43" s="307"/>
      <c r="G43" s="222"/>
      <c r="H43" s="198"/>
      <c r="I43" s="198"/>
      <c r="J43" s="309"/>
      <c r="K43" s="307"/>
      <c r="L43" s="222"/>
      <c r="M43" s="198"/>
      <c r="N43" s="33"/>
      <c r="O43" s="309"/>
    </row>
    <row r="44" spans="2:33" ht="19.899999999999999" customHeight="1" x14ac:dyDescent="0.25">
      <c r="E44" s="307"/>
      <c r="F44" s="307"/>
      <c r="G44" s="222"/>
      <c r="H44" s="198"/>
      <c r="I44" s="198"/>
      <c r="J44" s="309"/>
      <c r="L44" s="222"/>
      <c r="M44" s="198"/>
      <c r="N44" s="33"/>
      <c r="O44" s="309"/>
    </row>
    <row r="45" spans="2:33" ht="19.899999999999999" customHeight="1" x14ac:dyDescent="0.25">
      <c r="E45" s="307"/>
      <c r="F45" s="307"/>
      <c r="G45" s="222"/>
      <c r="H45" s="198"/>
      <c r="I45" s="198"/>
      <c r="J45" s="309"/>
      <c r="L45" s="222"/>
      <c r="M45" s="198"/>
      <c r="N45" s="33"/>
      <c r="O45" s="309"/>
    </row>
    <row r="46" spans="2:33" ht="19.899999999999999" customHeight="1" x14ac:dyDescent="0.25">
      <c r="E46" s="307"/>
      <c r="F46" s="307"/>
      <c r="G46" s="222"/>
      <c r="H46" s="198"/>
      <c r="I46" s="198"/>
      <c r="J46" s="309"/>
      <c r="L46" s="222"/>
      <c r="M46" s="198"/>
      <c r="N46" s="33"/>
      <c r="O46" s="309"/>
    </row>
    <row r="47" spans="2:33" ht="19.899999999999999" customHeight="1" x14ac:dyDescent="0.25">
      <c r="E47" s="307"/>
      <c r="F47" s="307"/>
      <c r="G47" s="222"/>
      <c r="H47" s="198"/>
      <c r="I47" s="198"/>
      <c r="J47" s="309"/>
      <c r="L47" s="222"/>
      <c r="M47" s="198"/>
      <c r="N47" s="33"/>
      <c r="O47" s="309"/>
    </row>
    <row r="48" spans="2:33" ht="19.899999999999999" customHeight="1" x14ac:dyDescent="0.25">
      <c r="E48" s="307"/>
      <c r="F48" s="307"/>
      <c r="G48" s="222"/>
      <c r="H48" s="198"/>
      <c r="I48" s="198"/>
      <c r="J48" s="309"/>
      <c r="L48" s="222"/>
      <c r="M48" s="198"/>
      <c r="N48" s="33"/>
      <c r="O48" s="309"/>
    </row>
    <row r="49" spans="5:10" x14ac:dyDescent="0.25">
      <c r="E49" s="307"/>
      <c r="F49" s="307"/>
      <c r="G49" s="307"/>
      <c r="H49" s="307"/>
      <c r="I49" s="307"/>
      <c r="J49" s="307"/>
    </row>
    <row r="51" spans="5:10" s="306" customFormat="1" x14ac:dyDescent="0.25"/>
    <row r="52" spans="5:10" s="306" customFormat="1" x14ac:dyDescent="0.25"/>
    <row r="53" spans="5:10" s="306" customFormat="1" x14ac:dyDescent="0.25"/>
    <row r="54" spans="5:10" s="306" customFormat="1" x14ac:dyDescent="0.25"/>
    <row r="55" spans="5:10" s="306" customFormat="1" x14ac:dyDescent="0.25"/>
    <row r="56" spans="5:10" s="306" customFormat="1" x14ac:dyDescent="0.25"/>
    <row r="57" spans="5:10" s="306" customFormat="1" x14ac:dyDescent="0.25"/>
    <row r="58" spans="5:10" s="306" customFormat="1" x14ac:dyDescent="0.25"/>
    <row r="59" spans="5:10" s="306" customFormat="1" x14ac:dyDescent="0.25"/>
    <row r="60" spans="5:10" s="306" customFormat="1" x14ac:dyDescent="0.25"/>
    <row r="61" spans="5:10" s="306" customFormat="1" x14ac:dyDescent="0.25"/>
    <row r="62" spans="5:10" s="306" customFormat="1" x14ac:dyDescent="0.25"/>
    <row r="63" spans="5:10" s="306" customFormat="1" x14ac:dyDescent="0.25"/>
    <row r="64" spans="5:10" s="306" customFormat="1" x14ac:dyDescent="0.25"/>
    <row r="65" s="306" customFormat="1" x14ac:dyDescent="0.25"/>
    <row r="66" s="306" customFormat="1" x14ac:dyDescent="0.25"/>
    <row r="67" s="306" customFormat="1" x14ac:dyDescent="0.25"/>
    <row r="68" s="306" customFormat="1" x14ac:dyDescent="0.25"/>
    <row r="69" s="306" customFormat="1" x14ac:dyDescent="0.25"/>
    <row r="70" s="306" customFormat="1" x14ac:dyDescent="0.25"/>
    <row r="71" s="306" customFormat="1" x14ac:dyDescent="0.25"/>
    <row r="72" s="306" customFormat="1" x14ac:dyDescent="0.25"/>
    <row r="73" s="306" customFormat="1" x14ac:dyDescent="0.25"/>
    <row r="74" s="306" customFormat="1" x14ac:dyDescent="0.25"/>
    <row r="75" s="306" customFormat="1" x14ac:dyDescent="0.25"/>
    <row r="76" s="306" customFormat="1" x14ac:dyDescent="0.25"/>
    <row r="77" s="306" customFormat="1" x14ac:dyDescent="0.25"/>
    <row r="78" s="306" customFormat="1" x14ac:dyDescent="0.25"/>
    <row r="79" s="306" customFormat="1" x14ac:dyDescent="0.25"/>
    <row r="80" s="306" customFormat="1" x14ac:dyDescent="0.25"/>
    <row r="81" s="306" customFormat="1" x14ac:dyDescent="0.25"/>
    <row r="82" s="306" customFormat="1" x14ac:dyDescent="0.25"/>
    <row r="83" s="306" customFormat="1" x14ac:dyDescent="0.25"/>
    <row r="84" s="306" customFormat="1" x14ac:dyDescent="0.25"/>
    <row r="85" s="306" customFormat="1" x14ac:dyDescent="0.25"/>
    <row r="86" s="306" customFormat="1" x14ac:dyDescent="0.25"/>
    <row r="87" s="306" customFormat="1" x14ac:dyDescent="0.25"/>
    <row r="88" s="306" customFormat="1" x14ac:dyDescent="0.25"/>
    <row r="89" s="306" customFormat="1" x14ac:dyDescent="0.25"/>
    <row r="90" s="306" customFormat="1" x14ac:dyDescent="0.25"/>
    <row r="91" s="306" customFormat="1" x14ac:dyDescent="0.25"/>
    <row r="92" s="306" customFormat="1" x14ac:dyDescent="0.25"/>
    <row r="93" s="306" customFormat="1" x14ac:dyDescent="0.25"/>
    <row r="94" s="306" customFormat="1" x14ac:dyDescent="0.25"/>
    <row r="95" s="306" customFormat="1" x14ac:dyDescent="0.25"/>
    <row r="96" s="306" customFormat="1" x14ac:dyDescent="0.25"/>
    <row r="97" s="306" customFormat="1" x14ac:dyDescent="0.25"/>
    <row r="98" s="306" customFormat="1" x14ac:dyDescent="0.25"/>
    <row r="99" s="306" customFormat="1" x14ac:dyDescent="0.25"/>
    <row r="100" s="306" customFormat="1" x14ac:dyDescent="0.25"/>
    <row r="101" s="306" customFormat="1" x14ac:dyDescent="0.25"/>
    <row r="102" s="306" customFormat="1" x14ac:dyDescent="0.25"/>
    <row r="103" s="306" customFormat="1" x14ac:dyDescent="0.25"/>
    <row r="104" s="306" customFormat="1" x14ac:dyDescent="0.25"/>
    <row r="105" s="306" customFormat="1" x14ac:dyDescent="0.25"/>
    <row r="106" s="306" customFormat="1" x14ac:dyDescent="0.25"/>
    <row r="107" s="306" customFormat="1" x14ac:dyDescent="0.25"/>
    <row r="108" s="306" customFormat="1" x14ac:dyDescent="0.25"/>
    <row r="109" s="306" customFormat="1" x14ac:dyDescent="0.25"/>
    <row r="110" s="306" customFormat="1" x14ac:dyDescent="0.25"/>
    <row r="111" s="306" customFormat="1" x14ac:dyDescent="0.25"/>
    <row r="112" s="306" customFormat="1" x14ac:dyDescent="0.25"/>
    <row r="113" s="306" customFormat="1" x14ac:dyDescent="0.25"/>
    <row r="114" s="306" customFormat="1" x14ac:dyDescent="0.25"/>
    <row r="115" s="306" customFormat="1" x14ac:dyDescent="0.25"/>
    <row r="116" s="306" customFormat="1" x14ac:dyDescent="0.25"/>
    <row r="117" s="306" customFormat="1" x14ac:dyDescent="0.25"/>
    <row r="118" s="306" customFormat="1" x14ac:dyDescent="0.25"/>
    <row r="119" s="306" customFormat="1" x14ac:dyDescent="0.25"/>
    <row r="120" s="306" customFormat="1" x14ac:dyDescent="0.25"/>
    <row r="121" s="306" customFormat="1" x14ac:dyDescent="0.25"/>
    <row r="122" s="306" customFormat="1" x14ac:dyDescent="0.25"/>
    <row r="123" s="306" customFormat="1" x14ac:dyDescent="0.25"/>
    <row r="124" s="306" customFormat="1" x14ac:dyDescent="0.25"/>
    <row r="125" s="306" customFormat="1" x14ac:dyDescent="0.25"/>
    <row r="126" s="306" customFormat="1" x14ac:dyDescent="0.25"/>
    <row r="127" s="306" customFormat="1" x14ac:dyDescent="0.25"/>
    <row r="128" s="306" customFormat="1" x14ac:dyDescent="0.25"/>
    <row r="129" s="306" customFormat="1" x14ac:dyDescent="0.25"/>
    <row r="130" s="306" customFormat="1" x14ac:dyDescent="0.25"/>
    <row r="131" s="306" customFormat="1" x14ac:dyDescent="0.25"/>
    <row r="132" s="306" customFormat="1" x14ac:dyDescent="0.25"/>
    <row r="133" s="306" customFormat="1" x14ac:dyDescent="0.25"/>
    <row r="134" s="306" customFormat="1" x14ac:dyDescent="0.25"/>
    <row r="135" s="306" customFormat="1" x14ac:dyDescent="0.25"/>
    <row r="136" s="306" customFormat="1" x14ac:dyDescent="0.25"/>
    <row r="137" s="306" customFormat="1" x14ac:dyDescent="0.25"/>
    <row r="138" s="306" customFormat="1" x14ac:dyDescent="0.25"/>
    <row r="139" s="306" customFormat="1" x14ac:dyDescent="0.25"/>
    <row r="140" s="306" customFormat="1" x14ac:dyDescent="0.25"/>
    <row r="141" s="306" customFormat="1" x14ac:dyDescent="0.25"/>
    <row r="142" s="306" customFormat="1" x14ac:dyDescent="0.25"/>
    <row r="143" s="306" customFormat="1" x14ac:dyDescent="0.25"/>
    <row r="144" s="306" customFormat="1" x14ac:dyDescent="0.25"/>
    <row r="145" s="306" customFormat="1" x14ac:dyDescent="0.25"/>
    <row r="146" s="306" customFormat="1" x14ac:dyDescent="0.25"/>
    <row r="147" s="306" customFormat="1" x14ac:dyDescent="0.25"/>
    <row r="148" s="306" customFormat="1" x14ac:dyDescent="0.25"/>
    <row r="149" s="306" customFormat="1" x14ac:dyDescent="0.25"/>
    <row r="150" s="306" customFormat="1" x14ac:dyDescent="0.25"/>
    <row r="151" s="306" customFormat="1" x14ac:dyDescent="0.25"/>
    <row r="152" s="306" customFormat="1" x14ac:dyDescent="0.25"/>
    <row r="153" s="306" customFormat="1" x14ac:dyDescent="0.25"/>
    <row r="154" s="306" customFormat="1" x14ac:dyDescent="0.25"/>
    <row r="155" s="306" customFormat="1" x14ac:dyDescent="0.25"/>
    <row r="156" s="306" customFormat="1" x14ac:dyDescent="0.25"/>
    <row r="157" s="306" customFormat="1" x14ac:dyDescent="0.25"/>
    <row r="158" s="306" customFormat="1" x14ac:dyDescent="0.25"/>
    <row r="159" s="306" customFormat="1" x14ac:dyDescent="0.25"/>
    <row r="160" s="306" customFormat="1" x14ac:dyDescent="0.25"/>
    <row r="161" s="306" customFormat="1" x14ac:dyDescent="0.25"/>
    <row r="162" s="306" customFormat="1" x14ac:dyDescent="0.25"/>
    <row r="163" s="306" customFormat="1" x14ac:dyDescent="0.25"/>
    <row r="164" s="306" customFormat="1" x14ac:dyDescent="0.25"/>
    <row r="165" s="306" customFormat="1" x14ac:dyDescent="0.25"/>
    <row r="166" s="306" customFormat="1" x14ac:dyDescent="0.25"/>
    <row r="167" s="306" customFormat="1" x14ac:dyDescent="0.25"/>
    <row r="168" s="306" customFormat="1" x14ac:dyDescent="0.25"/>
    <row r="169" s="306" customFormat="1" x14ac:dyDescent="0.25"/>
    <row r="170" s="306" customFormat="1" x14ac:dyDescent="0.25"/>
    <row r="171" s="306" customFormat="1" x14ac:dyDescent="0.25"/>
    <row r="172" s="306" customFormat="1" x14ac:dyDescent="0.25"/>
    <row r="173" s="306" customFormat="1" x14ac:dyDescent="0.25"/>
    <row r="174" s="306" customFormat="1" x14ac:dyDescent="0.25"/>
    <row r="175" s="306" customFormat="1" x14ac:dyDescent="0.25"/>
    <row r="176" s="306" customFormat="1" x14ac:dyDescent="0.25"/>
    <row r="177" s="306" customFormat="1" x14ac:dyDescent="0.25"/>
    <row r="178" s="306" customFormat="1" x14ac:dyDescent="0.25"/>
    <row r="179" s="306" customFormat="1" x14ac:dyDescent="0.25"/>
    <row r="180" s="306" customFormat="1" x14ac:dyDescent="0.25"/>
    <row r="181" s="306" customFormat="1" x14ac:dyDescent="0.25"/>
    <row r="182" s="306" customFormat="1" x14ac:dyDescent="0.25"/>
    <row r="183" s="306" customFormat="1" x14ac:dyDescent="0.25"/>
    <row r="184" s="306" customFormat="1" x14ac:dyDescent="0.25"/>
    <row r="185" s="306" customFormat="1" x14ac:dyDescent="0.25"/>
    <row r="186" s="306" customFormat="1" x14ac:dyDescent="0.25"/>
    <row r="187" s="306" customFormat="1" x14ac:dyDescent="0.25"/>
    <row r="188" s="306" customFormat="1" x14ac:dyDescent="0.25"/>
    <row r="189" s="306" customFormat="1" x14ac:dyDescent="0.25"/>
    <row r="190" s="306" customFormat="1" x14ac:dyDescent="0.25"/>
    <row r="191" s="306" customFormat="1" x14ac:dyDescent="0.25"/>
    <row r="192" s="306" customFormat="1" x14ac:dyDescent="0.25"/>
    <row r="193" s="306" customFormat="1" x14ac:dyDescent="0.25"/>
    <row r="194" s="306" customFormat="1" x14ac:dyDescent="0.25"/>
    <row r="195" s="306" customFormat="1" x14ac:dyDescent="0.25"/>
    <row r="196" s="306" customFormat="1" x14ac:dyDescent="0.25"/>
    <row r="197" s="306" customFormat="1" x14ac:dyDescent="0.25"/>
    <row r="198" s="306" customFormat="1" x14ac:dyDescent="0.25"/>
    <row r="199" s="306" customFormat="1" x14ac:dyDescent="0.25"/>
    <row r="200" s="306" customFormat="1" x14ac:dyDescent="0.25"/>
    <row r="201" s="306" customFormat="1" x14ac:dyDescent="0.25"/>
    <row r="202" s="306" customFormat="1" x14ac:dyDescent="0.25"/>
    <row r="203" s="306" customFormat="1" x14ac:dyDescent="0.25"/>
    <row r="204" s="306" customFormat="1" x14ac:dyDescent="0.25"/>
    <row r="205" s="306" customFormat="1" x14ac:dyDescent="0.25"/>
    <row r="206" s="306" customFormat="1" x14ac:dyDescent="0.25"/>
    <row r="207" s="306" customFormat="1" x14ac:dyDescent="0.25"/>
    <row r="208" s="306" customFormat="1" x14ac:dyDescent="0.25"/>
    <row r="209" s="306" customFormat="1" x14ac:dyDescent="0.25"/>
    <row r="210" s="306" customFormat="1" x14ac:dyDescent="0.25"/>
    <row r="211" s="306" customFormat="1" x14ac:dyDescent="0.25"/>
    <row r="212" s="306" customFormat="1" x14ac:dyDescent="0.25"/>
    <row r="213" s="306" customFormat="1" x14ac:dyDescent="0.25"/>
    <row r="214" s="306" customFormat="1" x14ac:dyDescent="0.25"/>
    <row r="215" s="306" customFormat="1" x14ac:dyDescent="0.25"/>
    <row r="216" s="306" customFormat="1" x14ac:dyDescent="0.25"/>
    <row r="217" s="306" customFormat="1" x14ac:dyDescent="0.25"/>
    <row r="218" s="306" customFormat="1" x14ac:dyDescent="0.25"/>
    <row r="219" s="306" customFormat="1" x14ac:dyDescent="0.25"/>
    <row r="220" s="306" customFormat="1" x14ac:dyDescent="0.25"/>
    <row r="221" s="306" customFormat="1" x14ac:dyDescent="0.25"/>
    <row r="222" s="306" customFormat="1" x14ac:dyDescent="0.25"/>
    <row r="223" s="306" customFormat="1" x14ac:dyDescent="0.25"/>
    <row r="224" s="306" customFormat="1" x14ac:dyDescent="0.25"/>
    <row r="225" s="306" customFormat="1" x14ac:dyDescent="0.25"/>
    <row r="226" s="306" customFormat="1" x14ac:dyDescent="0.25"/>
    <row r="227" s="306" customFormat="1" x14ac:dyDescent="0.25"/>
    <row r="228" s="306" customFormat="1" x14ac:dyDescent="0.25"/>
    <row r="229" s="306" customFormat="1" x14ac:dyDescent="0.25"/>
    <row r="230" s="306" customFormat="1" x14ac:dyDescent="0.25"/>
    <row r="231" s="306" customFormat="1" x14ac:dyDescent="0.25"/>
    <row r="232" s="306" customFormat="1" x14ac:dyDescent="0.25"/>
    <row r="233" s="306" customFormat="1" x14ac:dyDescent="0.25"/>
    <row r="234" s="306" customFormat="1" x14ac:dyDescent="0.25"/>
    <row r="235" s="306" customFormat="1" x14ac:dyDescent="0.25"/>
    <row r="236" s="306" customFormat="1" x14ac:dyDescent="0.25"/>
    <row r="237" s="306" customFormat="1" x14ac:dyDescent="0.25"/>
    <row r="238" s="306" customFormat="1" x14ac:dyDescent="0.25"/>
    <row r="239" s="306" customFormat="1" x14ac:dyDescent="0.25"/>
    <row r="240" s="306" customFormat="1" x14ac:dyDescent="0.25"/>
    <row r="241" s="306" customFormat="1" x14ac:dyDescent="0.25"/>
    <row r="242" s="306" customFormat="1" x14ac:dyDescent="0.25"/>
    <row r="243" s="306" customFormat="1" x14ac:dyDescent="0.25"/>
    <row r="244" s="306" customFormat="1" x14ac:dyDescent="0.25"/>
    <row r="245" s="306" customFormat="1" x14ac:dyDescent="0.25"/>
    <row r="246" s="306" customFormat="1" x14ac:dyDescent="0.25"/>
    <row r="247" s="306" customFormat="1" x14ac:dyDescent="0.25"/>
    <row r="248" s="306" customFormat="1" x14ac:dyDescent="0.25"/>
    <row r="249" s="306" customFormat="1" x14ac:dyDescent="0.25"/>
    <row r="250" s="306" customFormat="1" x14ac:dyDescent="0.25"/>
    <row r="251" s="306" customFormat="1" x14ac:dyDescent="0.25"/>
    <row r="252" s="306" customFormat="1" x14ac:dyDescent="0.25"/>
    <row r="253" s="306" customFormat="1" x14ac:dyDescent="0.25"/>
    <row r="254" s="306" customFormat="1" x14ac:dyDescent="0.25"/>
    <row r="255" s="306" customFormat="1" x14ac:dyDescent="0.25"/>
    <row r="256" s="306" customFormat="1" x14ac:dyDescent="0.25"/>
    <row r="257" s="306" customFormat="1" x14ac:dyDescent="0.25"/>
    <row r="258" s="306" customFormat="1" x14ac:dyDescent="0.25"/>
    <row r="259" s="306" customFormat="1" x14ac:dyDescent="0.25"/>
    <row r="260" s="306" customFormat="1" x14ac:dyDescent="0.25"/>
    <row r="261" s="306" customFormat="1" x14ac:dyDescent="0.25"/>
    <row r="262" s="306" customFormat="1" x14ac:dyDescent="0.25"/>
    <row r="263" s="306" customFormat="1" x14ac:dyDescent="0.25"/>
    <row r="264" s="306" customFormat="1" x14ac:dyDescent="0.25"/>
    <row r="265" s="306" customFormat="1" x14ac:dyDescent="0.25"/>
    <row r="266" s="306" customFormat="1" x14ac:dyDescent="0.25"/>
    <row r="267" s="306" customFormat="1" x14ac:dyDescent="0.25"/>
    <row r="268" s="306" customFormat="1" x14ac:dyDescent="0.25"/>
    <row r="269" s="306" customFormat="1" x14ac:dyDescent="0.25"/>
    <row r="270" s="306" customFormat="1" x14ac:dyDescent="0.25"/>
    <row r="271" s="306" customFormat="1" x14ac:dyDescent="0.25"/>
    <row r="272" s="306" customFormat="1" x14ac:dyDescent="0.25"/>
    <row r="273" s="306" customFormat="1" x14ac:dyDescent="0.25"/>
    <row r="274" s="306" customFormat="1" x14ac:dyDescent="0.25"/>
    <row r="275" s="306" customFormat="1" x14ac:dyDescent="0.25"/>
    <row r="276" s="306" customFormat="1" x14ac:dyDescent="0.25"/>
    <row r="277" s="306" customFormat="1" x14ac:dyDescent="0.25"/>
    <row r="278" s="306" customFormat="1" x14ac:dyDescent="0.25"/>
    <row r="279" s="306" customFormat="1" x14ac:dyDescent="0.25"/>
    <row r="280" s="306" customFormat="1" x14ac:dyDescent="0.25"/>
    <row r="281" s="306" customFormat="1" x14ac:dyDescent="0.25"/>
    <row r="282" s="306" customFormat="1" x14ac:dyDescent="0.25"/>
    <row r="283" s="306" customFormat="1" x14ac:dyDescent="0.25"/>
    <row r="284" s="306" customFormat="1" x14ac:dyDescent="0.25"/>
    <row r="285" s="306" customFormat="1" x14ac:dyDescent="0.25"/>
    <row r="286" s="306" customFormat="1" x14ac:dyDescent="0.25"/>
    <row r="287" s="306" customFormat="1" x14ac:dyDescent="0.25"/>
    <row r="288" s="306" customFormat="1" x14ac:dyDescent="0.25"/>
    <row r="289" s="306" customFormat="1" x14ac:dyDescent="0.25"/>
    <row r="290" s="306" customFormat="1" x14ac:dyDescent="0.25"/>
    <row r="291" s="306" customFormat="1" x14ac:dyDescent="0.25"/>
    <row r="292" s="306" customFormat="1" x14ac:dyDescent="0.25"/>
    <row r="293" s="306" customFormat="1" x14ac:dyDescent="0.25"/>
    <row r="294" s="306" customFormat="1" x14ac:dyDescent="0.25"/>
    <row r="295" s="306" customFormat="1" x14ac:dyDescent="0.25"/>
    <row r="296" s="306" customFormat="1" x14ac:dyDescent="0.25"/>
    <row r="297" s="306" customFormat="1" x14ac:dyDescent="0.25"/>
    <row r="298" s="306" customFormat="1" x14ac:dyDescent="0.25"/>
    <row r="299" s="306" customFormat="1" x14ac:dyDescent="0.25"/>
    <row r="300" s="306" customFormat="1" x14ac:dyDescent="0.25"/>
    <row r="301" s="306" customFormat="1" x14ac:dyDescent="0.25"/>
    <row r="302" s="306" customFormat="1" x14ac:dyDescent="0.25"/>
    <row r="303" s="306" customFormat="1" x14ac:dyDescent="0.25"/>
    <row r="304" s="306" customFormat="1" x14ac:dyDescent="0.25"/>
    <row r="305" s="306" customFormat="1" x14ac:dyDescent="0.25"/>
    <row r="306" s="306" customFormat="1" x14ac:dyDescent="0.25"/>
    <row r="307" s="306" customFormat="1" x14ac:dyDescent="0.25"/>
    <row r="308" s="306" customFormat="1" x14ac:dyDescent="0.25"/>
    <row r="309" s="306" customFormat="1" x14ac:dyDescent="0.25"/>
    <row r="310" s="306" customFormat="1" x14ac:dyDescent="0.25"/>
    <row r="311" s="306" customFormat="1" x14ac:dyDescent="0.25"/>
    <row r="312" s="306" customFormat="1" x14ac:dyDescent="0.25"/>
    <row r="313" s="306" customFormat="1" x14ac:dyDescent="0.25"/>
    <row r="314" s="306" customFormat="1" x14ac:dyDescent="0.25"/>
    <row r="315" s="306" customFormat="1" x14ac:dyDescent="0.25"/>
    <row r="316" s="306" customFormat="1" x14ac:dyDescent="0.25"/>
    <row r="317" s="306" customFormat="1" x14ac:dyDescent="0.25"/>
    <row r="318" s="306" customFormat="1" x14ac:dyDescent="0.25"/>
    <row r="319" s="306" customFormat="1" x14ac:dyDescent="0.25"/>
    <row r="320" s="306" customFormat="1" x14ac:dyDescent="0.25"/>
    <row r="321" s="306" customFormat="1" x14ac:dyDescent="0.25"/>
    <row r="322" s="306" customFormat="1" x14ac:dyDescent="0.25"/>
    <row r="323" s="306" customFormat="1" x14ac:dyDescent="0.25"/>
    <row r="324" s="306" customFormat="1" x14ac:dyDescent="0.25"/>
    <row r="325" s="306" customFormat="1" x14ac:dyDescent="0.25"/>
    <row r="326" s="306" customFormat="1" x14ac:dyDescent="0.25"/>
    <row r="327" s="306" customFormat="1" x14ac:dyDescent="0.25"/>
    <row r="328" s="306" customFormat="1" x14ac:dyDescent="0.25"/>
    <row r="329" s="306" customFormat="1" x14ac:dyDescent="0.25"/>
    <row r="330" s="306" customFormat="1" x14ac:dyDescent="0.25"/>
    <row r="331" s="306" customFormat="1" x14ac:dyDescent="0.25"/>
    <row r="332" s="306" customFormat="1" x14ac:dyDescent="0.25"/>
    <row r="333" s="306" customFormat="1" x14ac:dyDescent="0.25"/>
    <row r="334" s="306" customFormat="1" x14ac:dyDescent="0.25"/>
    <row r="335" s="306" customFormat="1" x14ac:dyDescent="0.25"/>
    <row r="336" s="306" customFormat="1" x14ac:dyDescent="0.25"/>
    <row r="337" s="306" customFormat="1" x14ac:dyDescent="0.25"/>
    <row r="338" s="306" customFormat="1" x14ac:dyDescent="0.25"/>
    <row r="339" s="306" customFormat="1" x14ac:dyDescent="0.25"/>
    <row r="340" s="306" customFormat="1" x14ac:dyDescent="0.25"/>
    <row r="341" s="306" customFormat="1" x14ac:dyDescent="0.25"/>
    <row r="342" s="306" customFormat="1" x14ac:dyDescent="0.25"/>
    <row r="343" s="306" customFormat="1" x14ac:dyDescent="0.25"/>
    <row r="344" s="306" customFormat="1" x14ac:dyDescent="0.25"/>
    <row r="345" s="306" customFormat="1" x14ac:dyDescent="0.25"/>
    <row r="346" s="306" customFormat="1" x14ac:dyDescent="0.25"/>
    <row r="347" s="306" customFormat="1" x14ac:dyDescent="0.25"/>
    <row r="348" s="306" customFormat="1" x14ac:dyDescent="0.25"/>
    <row r="349" s="306" customFormat="1" x14ac:dyDescent="0.25"/>
    <row r="350" s="306" customFormat="1" x14ac:dyDescent="0.25"/>
    <row r="351" s="306" customFormat="1" x14ac:dyDescent="0.25"/>
    <row r="352" s="306" customFormat="1" x14ac:dyDescent="0.25"/>
    <row r="353" s="306" customFormat="1" x14ac:dyDescent="0.25"/>
    <row r="354" s="306" customFormat="1" x14ac:dyDescent="0.25"/>
    <row r="355" s="306" customFormat="1" x14ac:dyDescent="0.25"/>
    <row r="356" s="306" customFormat="1" x14ac:dyDescent="0.25"/>
    <row r="357" s="306" customFormat="1" x14ac:dyDescent="0.25"/>
    <row r="358" s="306" customFormat="1" x14ac:dyDescent="0.25"/>
    <row r="359" s="306" customFormat="1" x14ac:dyDescent="0.25"/>
    <row r="360" s="306" customFormat="1" x14ac:dyDescent="0.25"/>
    <row r="361" s="306" customFormat="1" x14ac:dyDescent="0.25"/>
    <row r="362" s="306" customFormat="1" x14ac:dyDescent="0.25"/>
    <row r="363" s="306" customFormat="1" x14ac:dyDescent="0.25"/>
    <row r="364" s="306" customFormat="1" x14ac:dyDescent="0.25"/>
    <row r="365" s="306" customFormat="1" x14ac:dyDescent="0.25"/>
    <row r="366" s="306" customFormat="1" x14ac:dyDescent="0.25"/>
    <row r="367" s="306" customFormat="1" x14ac:dyDescent="0.25"/>
    <row r="368" s="306" customFormat="1" x14ac:dyDescent="0.25"/>
    <row r="369" s="306" customFormat="1" x14ac:dyDescent="0.25"/>
    <row r="370" s="306" customFormat="1" x14ac:dyDescent="0.25"/>
    <row r="371" s="306" customFormat="1" x14ac:dyDescent="0.25"/>
    <row r="372" s="306" customFormat="1" x14ac:dyDescent="0.25"/>
    <row r="373" s="306" customFormat="1" x14ac:dyDescent="0.25"/>
    <row r="374" s="306" customFormat="1" x14ac:dyDescent="0.25"/>
    <row r="375" s="306" customFormat="1" x14ac:dyDescent="0.25"/>
    <row r="376" s="306" customFormat="1" x14ac:dyDescent="0.25"/>
    <row r="377" s="306" customFormat="1" x14ac:dyDescent="0.25"/>
    <row r="378" s="306" customFormat="1" x14ac:dyDescent="0.25"/>
    <row r="379" s="306" customFormat="1" x14ac:dyDescent="0.25"/>
    <row r="380" s="306" customFormat="1" x14ac:dyDescent="0.25"/>
    <row r="381" s="306" customFormat="1" x14ac:dyDescent="0.25"/>
    <row r="382" s="306" customFormat="1" x14ac:dyDescent="0.25"/>
    <row r="383" s="306" customFormat="1" x14ac:dyDescent="0.25"/>
    <row r="384" s="306" customFormat="1" x14ac:dyDescent="0.25"/>
    <row r="385" s="306" customFormat="1" x14ac:dyDescent="0.25"/>
    <row r="386" s="306" customFormat="1" x14ac:dyDescent="0.25"/>
    <row r="387" s="306" customFormat="1" x14ac:dyDescent="0.25"/>
    <row r="388" s="306" customFormat="1" x14ac:dyDescent="0.25"/>
    <row r="389" s="306" customFormat="1" x14ac:dyDescent="0.25"/>
    <row r="390" s="306" customFormat="1" x14ac:dyDescent="0.25"/>
    <row r="391" s="306" customFormat="1" x14ac:dyDescent="0.25"/>
    <row r="392" s="306" customFormat="1" x14ac:dyDescent="0.25"/>
    <row r="393" s="306" customFormat="1" x14ac:dyDescent="0.25"/>
    <row r="394" s="306" customFormat="1" x14ac:dyDescent="0.25"/>
    <row r="395" s="306" customFormat="1" x14ac:dyDescent="0.25"/>
    <row r="396" s="306" customFormat="1" x14ac:dyDescent="0.25"/>
    <row r="397" s="306" customFormat="1" x14ac:dyDescent="0.25"/>
    <row r="398" s="306" customFormat="1" x14ac:dyDescent="0.25"/>
    <row r="399" s="306" customFormat="1" x14ac:dyDescent="0.25"/>
    <row r="400" s="306" customFormat="1" x14ac:dyDescent="0.25"/>
    <row r="401" s="306" customFormat="1" x14ac:dyDescent="0.25"/>
    <row r="402" s="306" customFormat="1" x14ac:dyDescent="0.25"/>
    <row r="403" s="306" customFormat="1" x14ac:dyDescent="0.25"/>
    <row r="404" s="306" customFormat="1" x14ac:dyDescent="0.25"/>
    <row r="405" s="306" customFormat="1" x14ac:dyDescent="0.25"/>
    <row r="406" s="306" customFormat="1" x14ac:dyDescent="0.25"/>
    <row r="407" s="306" customFormat="1" x14ac:dyDescent="0.25"/>
    <row r="408" s="306" customFormat="1" x14ac:dyDescent="0.25"/>
    <row r="409" s="306" customFormat="1" x14ac:dyDescent="0.25"/>
    <row r="410" s="306" customFormat="1" x14ac:dyDescent="0.25"/>
    <row r="411" s="306" customFormat="1" x14ac:dyDescent="0.25"/>
    <row r="412" s="306" customFormat="1" x14ac:dyDescent="0.25"/>
    <row r="413" s="306" customFormat="1" x14ac:dyDescent="0.25"/>
    <row r="414" s="306" customFormat="1" x14ac:dyDescent="0.25"/>
    <row r="415" s="306" customFormat="1" x14ac:dyDescent="0.25"/>
    <row r="416" s="306" customFormat="1" x14ac:dyDescent="0.25"/>
    <row r="417" s="306" customFormat="1" x14ac:dyDescent="0.25"/>
    <row r="418" s="306" customFormat="1" x14ac:dyDescent="0.25"/>
    <row r="419" s="306" customFormat="1" x14ac:dyDescent="0.25"/>
    <row r="420" s="306" customFormat="1" x14ac:dyDescent="0.25"/>
    <row r="421" s="306" customFormat="1" x14ac:dyDescent="0.25"/>
    <row r="422" s="306" customFormat="1" x14ac:dyDescent="0.25"/>
    <row r="423" s="306" customFormat="1" x14ac:dyDescent="0.25"/>
    <row r="424" s="306" customFormat="1" x14ac:dyDescent="0.25"/>
    <row r="425" s="306" customFormat="1" x14ac:dyDescent="0.25"/>
    <row r="426" s="306" customFormat="1" x14ac:dyDescent="0.25"/>
    <row r="427" s="306" customFormat="1" x14ac:dyDescent="0.25"/>
    <row r="428" s="306" customFormat="1" x14ac:dyDescent="0.25"/>
    <row r="429" s="306" customFormat="1" x14ac:dyDescent="0.25"/>
    <row r="430" s="306" customFormat="1" x14ac:dyDescent="0.25"/>
    <row r="431" s="306" customFormat="1" x14ac:dyDescent="0.25"/>
    <row r="432" s="306" customFormat="1" x14ac:dyDescent="0.25"/>
    <row r="433" s="306" customFormat="1" x14ac:dyDescent="0.25"/>
    <row r="434" s="306" customFormat="1" x14ac:dyDescent="0.25"/>
    <row r="435" s="306" customFormat="1" x14ac:dyDescent="0.25"/>
    <row r="436" s="306" customFormat="1" x14ac:dyDescent="0.25"/>
    <row r="437" s="306" customFormat="1" x14ac:dyDescent="0.25"/>
    <row r="438" s="306" customFormat="1" x14ac:dyDescent="0.25"/>
    <row r="439" s="306" customFormat="1" x14ac:dyDescent="0.25"/>
    <row r="440" s="306" customFormat="1" x14ac:dyDescent="0.25"/>
    <row r="441" s="306" customFormat="1" x14ac:dyDescent="0.25"/>
    <row r="442" s="306" customFormat="1" x14ac:dyDescent="0.25"/>
    <row r="443" s="306" customFormat="1" x14ac:dyDescent="0.25"/>
    <row r="444" s="306" customFormat="1" x14ac:dyDescent="0.25"/>
    <row r="445" s="306" customFormat="1" x14ac:dyDescent="0.25"/>
    <row r="446" s="306" customFormat="1" x14ac:dyDescent="0.25"/>
    <row r="447" s="306" customFormat="1" x14ac:dyDescent="0.25"/>
    <row r="448" s="306" customFormat="1" x14ac:dyDescent="0.25"/>
    <row r="449" s="306" customFormat="1" x14ac:dyDescent="0.25"/>
    <row r="450" s="306" customFormat="1" x14ac:dyDescent="0.25"/>
    <row r="451" s="306" customFormat="1" x14ac:dyDescent="0.25"/>
    <row r="452" s="306" customFormat="1" x14ac:dyDescent="0.25"/>
    <row r="453" s="306" customFormat="1" x14ac:dyDescent="0.25"/>
    <row r="454" s="306" customFormat="1" x14ac:dyDescent="0.25"/>
    <row r="455" s="306" customFormat="1" x14ac:dyDescent="0.25"/>
    <row r="456" s="306" customFormat="1" x14ac:dyDescent="0.25"/>
    <row r="457" s="306" customFormat="1" x14ac:dyDescent="0.25"/>
    <row r="458" s="306" customFormat="1" x14ac:dyDescent="0.25"/>
    <row r="459" s="306" customFormat="1" x14ac:dyDescent="0.25"/>
    <row r="460" s="306" customFormat="1" x14ac:dyDescent="0.25"/>
    <row r="461" s="306" customFormat="1" x14ac:dyDescent="0.25"/>
    <row r="462" s="306" customFormat="1" x14ac:dyDescent="0.25"/>
    <row r="463" s="306" customFormat="1" x14ac:dyDescent="0.25"/>
    <row r="464" s="306" customFormat="1" x14ac:dyDescent="0.25"/>
    <row r="465" s="306" customFormat="1" x14ac:dyDescent="0.25"/>
    <row r="466" s="306" customFormat="1" x14ac:dyDescent="0.25"/>
    <row r="467" s="306" customFormat="1" x14ac:dyDescent="0.25"/>
    <row r="468" s="306" customFormat="1" x14ac:dyDescent="0.25"/>
    <row r="469" s="306" customFormat="1" x14ac:dyDescent="0.25"/>
    <row r="470" s="306" customFormat="1" x14ac:dyDescent="0.25"/>
    <row r="471" s="306" customFormat="1" x14ac:dyDescent="0.25"/>
    <row r="472" s="306" customFormat="1" x14ac:dyDescent="0.25"/>
    <row r="473" s="306" customFormat="1" x14ac:dyDescent="0.25"/>
    <row r="474" s="306" customFormat="1" x14ac:dyDescent="0.25"/>
    <row r="475" s="306" customFormat="1" x14ac:dyDescent="0.25"/>
    <row r="476" s="306" customFormat="1" x14ac:dyDescent="0.25"/>
    <row r="477" s="306" customFormat="1" x14ac:dyDescent="0.25"/>
    <row r="478" s="306" customFormat="1" x14ac:dyDescent="0.25"/>
    <row r="479" s="306" customFormat="1" x14ac:dyDescent="0.25"/>
    <row r="480" s="306" customFormat="1" x14ac:dyDescent="0.25"/>
    <row r="481" s="306" customFormat="1" x14ac:dyDescent="0.25"/>
    <row r="482" s="306" customFormat="1" x14ac:dyDescent="0.25"/>
    <row r="483" s="306" customFormat="1" x14ac:dyDescent="0.25"/>
    <row r="484" s="306" customFormat="1" x14ac:dyDescent="0.25"/>
    <row r="485" s="306" customFormat="1" x14ac:dyDescent="0.25"/>
    <row r="486" s="306" customFormat="1" x14ac:dyDescent="0.25"/>
    <row r="487" s="306" customFormat="1" x14ac:dyDescent="0.25"/>
    <row r="488" s="306" customFormat="1" x14ac:dyDescent="0.25"/>
    <row r="489" s="306" customFormat="1" x14ac:dyDescent="0.25"/>
    <row r="490" s="306" customFormat="1" x14ac:dyDescent="0.25"/>
    <row r="491" s="306" customFormat="1" x14ac:dyDescent="0.25"/>
    <row r="492" s="306" customFormat="1" x14ac:dyDescent="0.25"/>
    <row r="493" s="306" customFormat="1" x14ac:dyDescent="0.25"/>
    <row r="494" s="306" customFormat="1" x14ac:dyDescent="0.25"/>
    <row r="495" s="306" customFormat="1" x14ac:dyDescent="0.25"/>
    <row r="496" s="306" customFormat="1" x14ac:dyDescent="0.25"/>
    <row r="497" s="306" customFormat="1" x14ac:dyDescent="0.25"/>
    <row r="498" s="306" customFormat="1" x14ac:dyDescent="0.25"/>
    <row r="499" s="306" customFormat="1" x14ac:dyDescent="0.25"/>
    <row r="500" s="306" customFormat="1" x14ac:dyDescent="0.25"/>
    <row r="501" s="306" customFormat="1" x14ac:dyDescent="0.25"/>
    <row r="502" s="306" customFormat="1" x14ac:dyDescent="0.25"/>
    <row r="503" s="306" customFormat="1" x14ac:dyDescent="0.25"/>
    <row r="504" s="306" customFormat="1" x14ac:dyDescent="0.25"/>
    <row r="505" s="306" customFormat="1" x14ac:dyDescent="0.25"/>
    <row r="506" s="306" customFormat="1" x14ac:dyDescent="0.25"/>
    <row r="507" s="306" customFormat="1" x14ac:dyDescent="0.25"/>
    <row r="508" s="306" customFormat="1" x14ac:dyDescent="0.25"/>
    <row r="509" s="306" customFormat="1" x14ac:dyDescent="0.25"/>
    <row r="510" s="306" customFormat="1" x14ac:dyDescent="0.25"/>
    <row r="511" s="306" customFormat="1" x14ac:dyDescent="0.25"/>
    <row r="512" s="306" customFormat="1" x14ac:dyDescent="0.25"/>
    <row r="513" s="306" customFormat="1" x14ac:dyDescent="0.25"/>
  </sheetData>
  <mergeCells count="48">
    <mergeCell ref="B39:B41"/>
    <mergeCell ref="C39:C41"/>
    <mergeCell ref="B12:B13"/>
    <mergeCell ref="C12:C13"/>
    <mergeCell ref="B14:B15"/>
    <mergeCell ref="C14:C15"/>
    <mergeCell ref="B16:B17"/>
    <mergeCell ref="C16:C17"/>
    <mergeCell ref="C37:C38"/>
    <mergeCell ref="C28:C30"/>
    <mergeCell ref="B31:B32"/>
    <mergeCell ref="C31:C32"/>
    <mergeCell ref="B34:B36"/>
    <mergeCell ref="C34:C36"/>
    <mergeCell ref="E6:E7"/>
    <mergeCell ref="F6:F7"/>
    <mergeCell ref="B9:B11"/>
    <mergeCell ref="G6:G7"/>
    <mergeCell ref="C9:C11"/>
    <mergeCell ref="B2:O2"/>
    <mergeCell ref="L4:O5"/>
    <mergeCell ref="L39:M41"/>
    <mergeCell ref="N39:N41"/>
    <mergeCell ref="O39:O41"/>
    <mergeCell ref="B4:J5"/>
    <mergeCell ref="B6:B7"/>
    <mergeCell ref="B18:B19"/>
    <mergeCell ref="C18:C19"/>
    <mergeCell ref="B21:B22"/>
    <mergeCell ref="C21:C22"/>
    <mergeCell ref="B24:B25"/>
    <mergeCell ref="C24:C25"/>
    <mergeCell ref="B28:B30"/>
    <mergeCell ref="B37:B38"/>
    <mergeCell ref="D6:D7"/>
    <mergeCell ref="I9:I11"/>
    <mergeCell ref="I12:I13"/>
    <mergeCell ref="I14:I15"/>
    <mergeCell ref="I6:I7"/>
    <mergeCell ref="I16:I17"/>
    <mergeCell ref="I34:I36"/>
    <mergeCell ref="I37:I38"/>
    <mergeCell ref="I39:I41"/>
    <mergeCell ref="I18:I19"/>
    <mergeCell ref="I21:I22"/>
    <mergeCell ref="I24:I25"/>
    <mergeCell ref="I28:I30"/>
    <mergeCell ref="I31:I3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M493"/>
  <sheetViews>
    <sheetView zoomScale="60" zoomScaleNormal="60" workbookViewId="0">
      <selection activeCell="G16" sqref="G16"/>
    </sheetView>
  </sheetViews>
  <sheetFormatPr baseColWidth="10" defaultColWidth="11.5703125" defaultRowHeight="15.75" x14ac:dyDescent="0.25"/>
  <cols>
    <col min="1" max="1" width="5.7109375" style="153" customWidth="1"/>
    <col min="2" max="2" width="12.7109375" style="153" customWidth="1"/>
    <col min="3" max="5" width="15.7109375" style="153" customWidth="1"/>
    <col min="6" max="6" width="15.7109375" style="153" hidden="1" customWidth="1"/>
    <col min="7" max="12" width="15.7109375" style="153" customWidth="1"/>
    <col min="13" max="13" width="15.7109375" style="310" customWidth="1"/>
    <col min="14" max="14" width="15.7109375" style="304" customWidth="1"/>
    <col min="15" max="15" width="15.7109375" style="153" customWidth="1"/>
    <col min="16" max="16" width="15.7109375" style="258" customWidth="1"/>
    <col min="17" max="17" width="15.7109375" style="153" customWidth="1"/>
    <col min="18" max="22" width="16.28515625" style="352" customWidth="1"/>
    <col min="23" max="39" width="11.5703125" style="147"/>
    <col min="40" max="16384" width="11.5703125" style="153"/>
  </cols>
  <sheetData>
    <row r="1" spans="2:26" ht="15" customHeight="1" x14ac:dyDescent="0.25"/>
    <row r="2" spans="2:26" ht="49.9" customHeight="1" x14ac:dyDescent="0.25"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90"/>
      <c r="S2" s="90"/>
      <c r="T2" s="90"/>
      <c r="U2" s="90"/>
      <c r="V2" s="90"/>
      <c r="W2" s="91"/>
      <c r="X2" s="91"/>
      <c r="Y2" s="91"/>
      <c r="Z2" s="66"/>
    </row>
    <row r="3" spans="2:26" ht="15" customHeight="1" thickBot="1" x14ac:dyDescent="0.3"/>
    <row r="4" spans="2:26" ht="25.15" customHeight="1" x14ac:dyDescent="0.25">
      <c r="B4" s="609" t="s">
        <v>116</v>
      </c>
      <c r="C4" s="610"/>
      <c r="D4" s="610"/>
      <c r="E4" s="610"/>
      <c r="F4" s="610"/>
      <c r="G4" s="610"/>
      <c r="H4" s="610"/>
      <c r="I4" s="610"/>
      <c r="J4" s="610"/>
      <c r="K4" s="610"/>
      <c r="L4" s="610"/>
      <c r="M4" s="610"/>
      <c r="N4" s="610"/>
      <c r="O4" s="610"/>
      <c r="P4" s="610"/>
      <c r="Q4" s="611"/>
      <c r="R4" s="349"/>
      <c r="S4" s="349"/>
      <c r="T4" s="349"/>
      <c r="U4" s="349"/>
      <c r="V4" s="349"/>
    </row>
    <row r="5" spans="2:26" ht="25.15" customHeight="1" thickBot="1" x14ac:dyDescent="0.3">
      <c r="B5" s="680"/>
      <c r="C5" s="681"/>
      <c r="D5" s="613"/>
      <c r="E5" s="613"/>
      <c r="F5" s="681"/>
      <c r="G5" s="613"/>
      <c r="H5" s="613"/>
      <c r="I5" s="613"/>
      <c r="J5" s="681"/>
      <c r="K5" s="681"/>
      <c r="L5" s="681"/>
      <c r="M5" s="613"/>
      <c r="N5" s="613"/>
      <c r="O5" s="681"/>
      <c r="P5" s="681"/>
      <c r="Q5" s="682"/>
      <c r="R5" s="349"/>
      <c r="S5" s="349"/>
      <c r="T5" s="349"/>
      <c r="U5" s="349"/>
      <c r="V5" s="349"/>
    </row>
    <row r="6" spans="2:26" ht="72.75" customHeight="1" x14ac:dyDescent="0.25">
      <c r="B6" s="615" t="s">
        <v>29</v>
      </c>
      <c r="C6" s="373" t="s">
        <v>97</v>
      </c>
      <c r="D6" s="619" t="s">
        <v>117</v>
      </c>
      <c r="E6" s="622"/>
      <c r="F6" s="436"/>
      <c r="G6" s="619" t="s">
        <v>99</v>
      </c>
      <c r="H6" s="621"/>
      <c r="I6" s="372" t="s">
        <v>102</v>
      </c>
      <c r="J6" s="617" t="s">
        <v>103</v>
      </c>
      <c r="K6" s="683"/>
      <c r="L6" s="373" t="s">
        <v>96</v>
      </c>
      <c r="M6" s="373" t="s">
        <v>160</v>
      </c>
      <c r="N6" s="372" t="s">
        <v>153</v>
      </c>
      <c r="O6" s="684" t="s">
        <v>118</v>
      </c>
      <c r="P6" s="686" t="s">
        <v>119</v>
      </c>
      <c r="Q6" s="372" t="s">
        <v>120</v>
      </c>
      <c r="R6" s="154" t="s">
        <v>193</v>
      </c>
      <c r="S6" s="154" t="s">
        <v>194</v>
      </c>
      <c r="T6" s="154" t="s">
        <v>195</v>
      </c>
      <c r="U6" s="154" t="s">
        <v>196</v>
      </c>
      <c r="V6" s="349"/>
    </row>
    <row r="7" spans="2:26" ht="19.899999999999999" customHeight="1" thickBot="1" x14ac:dyDescent="0.3">
      <c r="B7" s="616"/>
      <c r="C7" s="437" t="s">
        <v>104</v>
      </c>
      <c r="D7" s="375" t="s">
        <v>104</v>
      </c>
      <c r="E7" s="376" t="s">
        <v>107</v>
      </c>
      <c r="F7" s="438" t="s">
        <v>105</v>
      </c>
      <c r="G7" s="375" t="s">
        <v>106</v>
      </c>
      <c r="H7" s="439" t="s">
        <v>28</v>
      </c>
      <c r="I7" s="374" t="s">
        <v>108</v>
      </c>
      <c r="J7" s="375" t="s">
        <v>109</v>
      </c>
      <c r="K7" s="439" t="s">
        <v>121</v>
      </c>
      <c r="L7" s="437" t="s">
        <v>104</v>
      </c>
      <c r="M7" s="437" t="s">
        <v>104</v>
      </c>
      <c r="N7" s="377" t="s">
        <v>104</v>
      </c>
      <c r="O7" s="685"/>
      <c r="P7" s="687"/>
      <c r="Q7" s="374" t="s">
        <v>104</v>
      </c>
      <c r="R7" s="155"/>
      <c r="S7" s="155"/>
      <c r="T7" s="155"/>
      <c r="U7" s="155"/>
      <c r="V7" s="349"/>
    </row>
    <row r="8" spans="2:26" ht="24.95" customHeight="1" thickBot="1" x14ac:dyDescent="0.3">
      <c r="B8" s="373" t="s">
        <v>122</v>
      </c>
      <c r="C8" s="382">
        <v>13.677099999999999</v>
      </c>
      <c r="D8" s="383">
        <f>Diseño!D28</f>
        <v>5.57E-2</v>
      </c>
      <c r="E8" s="384">
        <f>IF(D8=0.0557,2,0)</f>
        <v>2</v>
      </c>
      <c r="F8" s="385"/>
      <c r="G8" s="386">
        <f>Diseño!C10/1000</f>
        <v>4.3166666666666662E-4</v>
      </c>
      <c r="H8" s="387">
        <f>G8*1000</f>
        <v>0.43166666666666664</v>
      </c>
      <c r="I8" s="388">
        <f>PI()*((D8/2)^2)</f>
        <v>2.4366899479589493E-3</v>
      </c>
      <c r="J8" s="383">
        <f>G8/I8</f>
        <v>0.17715289014437174</v>
      </c>
      <c r="K8" s="389">
        <f>J8*100</f>
        <v>17.715289014437175</v>
      </c>
      <c r="L8" s="390">
        <f>Diseño!D36</f>
        <v>5.252234837446872E-3</v>
      </c>
      <c r="M8" s="391">
        <f>Accesorios!H8</f>
        <v>1.2801609825210626E-3</v>
      </c>
      <c r="N8" s="392">
        <f>L8+M8</f>
        <v>6.5323958199679346E-3</v>
      </c>
      <c r="O8" s="382">
        <f>Sectorización!L7</f>
        <v>202.57871478028855</v>
      </c>
      <c r="P8" s="382">
        <f>Diseño!F43-N8</f>
        <v>210.98821536934258</v>
      </c>
      <c r="Q8" s="390">
        <f>P8-O8</f>
        <v>8.4095005890540335</v>
      </c>
      <c r="R8" s="390">
        <v>8.42</v>
      </c>
      <c r="S8" s="390">
        <v>8.42</v>
      </c>
      <c r="T8" s="390">
        <v>8.42</v>
      </c>
      <c r="U8" s="390">
        <v>8.42</v>
      </c>
      <c r="V8" s="349"/>
    </row>
    <row r="9" spans="2:26" ht="24.95" customHeight="1" x14ac:dyDescent="0.25">
      <c r="B9" s="161" t="s">
        <v>37</v>
      </c>
      <c r="C9" s="170">
        <f>'Malla 1'!C246</f>
        <v>96.975099999999998</v>
      </c>
      <c r="D9" s="214">
        <f>'Malla 1'!F246</f>
        <v>5.57E-2</v>
      </c>
      <c r="E9" s="215">
        <f>IF(D9=0.0557,2,0)</f>
        <v>2</v>
      </c>
      <c r="F9" s="98"/>
      <c r="G9" s="216">
        <f>'Malla 1'!G246</f>
        <v>1.3318400452920315E-7</v>
      </c>
      <c r="H9" s="173">
        <f>G9*1000</f>
        <v>1.3318400452920316E-4</v>
      </c>
      <c r="I9" s="217">
        <f>PI()*((D9/2)^2)</f>
        <v>2.4366899479589493E-3</v>
      </c>
      <c r="J9" s="214">
        <f>G9/I9</f>
        <v>5.4657755961427268E-5</v>
      </c>
      <c r="K9" s="191">
        <f>J9*100</f>
        <v>5.4657755961427272E-3</v>
      </c>
      <c r="L9" s="218">
        <f>'Malla 1'!I246</f>
        <v>2.2941225806659127E-8</v>
      </c>
      <c r="M9" s="218">
        <f>SUM(Accesorios!H9:H11)</f>
        <v>4.2652033463537768E-10</v>
      </c>
      <c r="N9" s="316">
        <f t="shared" ref="N9:N19" si="0">L9+M9</f>
        <v>2.3367746141294505E-8</v>
      </c>
      <c r="O9" s="170">
        <f>Sectorización!L8</f>
        <v>198.81575519879846</v>
      </c>
      <c r="P9" s="170">
        <f>P8-N9</f>
        <v>210.98821534597485</v>
      </c>
      <c r="Q9" s="219">
        <f>P9-O9</f>
        <v>12.172460147176395</v>
      </c>
      <c r="R9" s="94">
        <v>12.18</v>
      </c>
      <c r="S9" s="369">
        <v>12.17</v>
      </c>
      <c r="T9" s="94">
        <v>12.17</v>
      </c>
      <c r="U9" s="369">
        <v>12.17</v>
      </c>
      <c r="V9" s="349"/>
    </row>
    <row r="10" spans="2:26" ht="24.95" customHeight="1" x14ac:dyDescent="0.25">
      <c r="B10" s="393" t="s">
        <v>38</v>
      </c>
      <c r="C10" s="394">
        <f>'Malla 1'!C247</f>
        <v>86.260599999999997</v>
      </c>
      <c r="D10" s="395">
        <f>'Malla 1'!F247</f>
        <v>5.57E-2</v>
      </c>
      <c r="E10" s="396">
        <f t="shared" ref="E10:E19" si="1">IF(D10=0.0557,2,0)</f>
        <v>2</v>
      </c>
      <c r="F10" s="397"/>
      <c r="G10" s="398">
        <f>'Malla 1'!G247</f>
        <v>4.3370261141814779E-7</v>
      </c>
      <c r="H10" s="399">
        <f t="shared" ref="H10:H19" si="2">G10*1000</f>
        <v>4.3370261141814778E-4</v>
      </c>
      <c r="I10" s="400">
        <f t="shared" ref="I10:I19" si="3">PI()*((D10/2)^2)</f>
        <v>2.4366899479589493E-3</v>
      </c>
      <c r="J10" s="395">
        <f t="shared" ref="J10:J19" si="4">G10/I10</f>
        <v>1.7798842720282538E-4</v>
      </c>
      <c r="K10" s="401">
        <f t="shared" ref="K10:K19" si="5">J10*100</f>
        <v>1.7798842720282537E-2</v>
      </c>
      <c r="L10" s="402">
        <f>'Malla 1'!I247</f>
        <v>1.8167171571913705E-7</v>
      </c>
      <c r="M10" s="402">
        <f>SUM(Accesorios!H12:H13)</f>
        <v>4.1998617462345615E-9</v>
      </c>
      <c r="N10" s="403">
        <f t="shared" si="0"/>
        <v>1.8587157746537161E-7</v>
      </c>
      <c r="O10" s="394">
        <f>Sectorización!L9</f>
        <v>203.46611977916717</v>
      </c>
      <c r="P10" s="394">
        <f>P9-N10</f>
        <v>210.98821516010327</v>
      </c>
      <c r="Q10" s="404">
        <f t="shared" ref="Q10:Q19" si="6">P10-O10</f>
        <v>7.5220953809360935</v>
      </c>
      <c r="R10" s="405">
        <v>7.51</v>
      </c>
      <c r="S10" s="405">
        <v>7.5</v>
      </c>
      <c r="T10" s="405">
        <v>7.51</v>
      </c>
      <c r="U10" s="405">
        <v>7.5</v>
      </c>
      <c r="V10" s="349"/>
    </row>
    <row r="11" spans="2:26" ht="24.95" customHeight="1" x14ac:dyDescent="0.25">
      <c r="B11" s="393" t="s">
        <v>39</v>
      </c>
      <c r="C11" s="394">
        <f>'Malla 1'!C248</f>
        <v>111.3882</v>
      </c>
      <c r="D11" s="395">
        <f>'Malla 1'!F248</f>
        <v>5.57E-2</v>
      </c>
      <c r="E11" s="396">
        <f t="shared" si="1"/>
        <v>2</v>
      </c>
      <c r="F11" s="397"/>
      <c r="G11" s="398">
        <f>'Malla 1'!G248</f>
        <v>4.1287164141480415E-7</v>
      </c>
      <c r="H11" s="399">
        <f t="shared" si="2"/>
        <v>4.1287164141480412E-4</v>
      </c>
      <c r="I11" s="400">
        <f t="shared" si="3"/>
        <v>2.4366899479589493E-3</v>
      </c>
      <c r="J11" s="395">
        <f t="shared" si="4"/>
        <v>1.6943954718598436E-4</v>
      </c>
      <c r="K11" s="401">
        <f t="shared" si="5"/>
        <v>1.6943954718598435E-2</v>
      </c>
      <c r="L11" s="402">
        <f>'Malla 1'!I248</f>
        <v>2.1415441042570431E-7</v>
      </c>
      <c r="M11" s="402">
        <f>SUM(Accesorios!H14:H15)</f>
        <v>6.1483271788947579E-9</v>
      </c>
      <c r="N11" s="403">
        <f t="shared" si="0"/>
        <v>2.2030273760459908E-7</v>
      </c>
      <c r="O11" s="394">
        <f>Sectorización!L10</f>
        <v>199.02770432880732</v>
      </c>
      <c r="P11" s="394">
        <f>P10-L11</f>
        <v>210.98821494594887</v>
      </c>
      <c r="Q11" s="404">
        <f t="shared" si="6"/>
        <v>11.960510617141551</v>
      </c>
      <c r="R11" s="405">
        <v>11.95</v>
      </c>
      <c r="S11" s="406">
        <v>12.65</v>
      </c>
      <c r="T11" s="405">
        <v>11.94</v>
      </c>
      <c r="U11" s="406">
        <v>11.93</v>
      </c>
      <c r="V11" s="349"/>
    </row>
    <row r="12" spans="2:26" ht="24.95" customHeight="1" x14ac:dyDescent="0.25">
      <c r="B12" s="393" t="s">
        <v>64</v>
      </c>
      <c r="C12" s="394">
        <f>'Malla 1'!C249</f>
        <v>94.485900000000001</v>
      </c>
      <c r="D12" s="395">
        <f>'Malla 1'!F249</f>
        <v>5.57E-2</v>
      </c>
      <c r="E12" s="396">
        <f t="shared" si="1"/>
        <v>2</v>
      </c>
      <c r="F12" s="397"/>
      <c r="G12" s="398">
        <f>'Malla 1'!G249</f>
        <v>4.0079704307380792E-7</v>
      </c>
      <c r="H12" s="399">
        <f t="shared" si="2"/>
        <v>4.0079704307380791E-4</v>
      </c>
      <c r="I12" s="400">
        <f t="shared" si="3"/>
        <v>2.4366899479589493E-3</v>
      </c>
      <c r="J12" s="395">
        <f t="shared" si="4"/>
        <v>1.6448421901585326E-4</v>
      </c>
      <c r="K12" s="401">
        <f t="shared" si="5"/>
        <v>1.6448421901585325E-2</v>
      </c>
      <c r="L12" s="402">
        <f>'Malla 1'!I249</f>
        <v>1.7194258888239004E-7</v>
      </c>
      <c r="M12" s="402">
        <f>SUM(Accesorios!H16:H17)</f>
        <v>3.5867403423242648E-9</v>
      </c>
      <c r="N12" s="403">
        <f t="shared" si="0"/>
        <v>1.7552932922471431E-7</v>
      </c>
      <c r="O12" s="394">
        <f>Sectorización!L11</f>
        <v>198</v>
      </c>
      <c r="P12" s="394">
        <f t="shared" ref="P12:P19" si="7">P11-L12</f>
        <v>210.98821477400628</v>
      </c>
      <c r="Q12" s="404">
        <f t="shared" si="6"/>
        <v>12.988214774006281</v>
      </c>
      <c r="R12" s="405">
        <v>12.98</v>
      </c>
      <c r="S12" s="406">
        <v>12.95</v>
      </c>
      <c r="T12" s="405">
        <v>12.96</v>
      </c>
      <c r="U12" s="406">
        <v>12.95</v>
      </c>
      <c r="V12" s="349"/>
    </row>
    <row r="13" spans="2:26" ht="24.95" customHeight="1" thickBot="1" x14ac:dyDescent="0.3">
      <c r="B13" s="393" t="s">
        <v>65</v>
      </c>
      <c r="C13" s="394">
        <f>'Malla 1'!C250</f>
        <v>75.623900000000006</v>
      </c>
      <c r="D13" s="395">
        <f>'Malla 1'!F250</f>
        <v>5.57E-2</v>
      </c>
      <c r="E13" s="396">
        <f t="shared" si="1"/>
        <v>2</v>
      </c>
      <c r="F13" s="407"/>
      <c r="G13" s="398">
        <f>'Malla 1'!G250</f>
        <v>4.1900789184012546E-7</v>
      </c>
      <c r="H13" s="399">
        <f t="shared" si="2"/>
        <v>4.1900789184012545E-4</v>
      </c>
      <c r="I13" s="400">
        <f t="shared" si="3"/>
        <v>2.4366899479589493E-3</v>
      </c>
      <c r="J13" s="395">
        <f t="shared" si="4"/>
        <v>1.7195782015315492E-4</v>
      </c>
      <c r="K13" s="401">
        <f t="shared" si="5"/>
        <v>1.7195782015315492E-2</v>
      </c>
      <c r="L13" s="402">
        <f>'Malla 1'!I250</f>
        <v>1.4942112373903614E-7</v>
      </c>
      <c r="M13" s="402">
        <f>SUM(Accesorios!H18:H19)</f>
        <v>3.9200835697911695E-9</v>
      </c>
      <c r="N13" s="403">
        <f t="shared" si="0"/>
        <v>1.5334120730882729E-7</v>
      </c>
      <c r="O13" s="394">
        <f>Sectorización!L12</f>
        <v>193.17675255357341</v>
      </c>
      <c r="P13" s="394">
        <f t="shared" si="7"/>
        <v>210.98821462458517</v>
      </c>
      <c r="Q13" s="404">
        <f t="shared" si="6"/>
        <v>17.811462071011761</v>
      </c>
      <c r="R13" s="405">
        <v>17.78</v>
      </c>
      <c r="S13" s="405">
        <v>17.77</v>
      </c>
      <c r="T13" s="405">
        <v>17.77</v>
      </c>
      <c r="U13" s="405">
        <v>17.760000000000002</v>
      </c>
      <c r="V13" s="349"/>
    </row>
    <row r="14" spans="2:26" ht="24.95" customHeight="1" x14ac:dyDescent="0.25">
      <c r="B14" s="393" t="s">
        <v>61</v>
      </c>
      <c r="C14" s="394">
        <f>'Malla 1'!C251</f>
        <v>33.049199999999999</v>
      </c>
      <c r="D14" s="395">
        <f>'Malla 1'!F251</f>
        <v>5.57E-2</v>
      </c>
      <c r="E14" s="396">
        <f t="shared" si="1"/>
        <v>2</v>
      </c>
      <c r="F14" s="408"/>
      <c r="G14" s="398">
        <f>'Malla 1'!G251</f>
        <v>4.954452231758544E-7</v>
      </c>
      <c r="H14" s="399">
        <f t="shared" si="2"/>
        <v>4.9544522317585438E-4</v>
      </c>
      <c r="I14" s="400">
        <f t="shared" si="3"/>
        <v>2.4366899479589493E-3</v>
      </c>
      <c r="J14" s="395">
        <f t="shared" si="4"/>
        <v>2.0332715025596728E-4</v>
      </c>
      <c r="K14" s="401">
        <f t="shared" si="5"/>
        <v>2.0332715025596727E-2</v>
      </c>
      <c r="L14" s="402">
        <f>'Malla 1'!I251</f>
        <v>8.9059348459376376E-8</v>
      </c>
      <c r="M14" s="402">
        <f>Accesorios!H20</f>
        <v>3.7943847672946601E-9</v>
      </c>
      <c r="N14" s="403">
        <f t="shared" si="0"/>
        <v>9.2853733226671036E-8</v>
      </c>
      <c r="O14" s="394">
        <f>Sectorización!L13</f>
        <v>194.32283570323222</v>
      </c>
      <c r="P14" s="394">
        <f t="shared" si="7"/>
        <v>210.98821453552583</v>
      </c>
      <c r="Q14" s="404">
        <f t="shared" si="6"/>
        <v>16.665378832293612</v>
      </c>
      <c r="R14" s="405">
        <v>16.649999999999999</v>
      </c>
      <c r="S14" s="405">
        <v>16.63</v>
      </c>
      <c r="T14" s="405">
        <v>16.63</v>
      </c>
      <c r="U14" s="405">
        <v>16.62</v>
      </c>
      <c r="V14" s="349"/>
    </row>
    <row r="15" spans="2:26" ht="24.95" customHeight="1" x14ac:dyDescent="0.25">
      <c r="B15" s="393" t="s">
        <v>143</v>
      </c>
      <c r="C15" s="394">
        <f>'Malla 1'!C252</f>
        <v>26.0762</v>
      </c>
      <c r="D15" s="395">
        <f>'Malla 1'!F252</f>
        <v>5.57E-2</v>
      </c>
      <c r="E15" s="396">
        <f t="shared" si="1"/>
        <v>2</v>
      </c>
      <c r="F15" s="397"/>
      <c r="G15" s="398">
        <f>'Malla 1'!G252</f>
        <v>4.6543659161717752E-7</v>
      </c>
      <c r="H15" s="399">
        <f t="shared" si="2"/>
        <v>4.6543659161717751E-4</v>
      </c>
      <c r="I15" s="400">
        <f t="shared" si="3"/>
        <v>2.4366899479589493E-3</v>
      </c>
      <c r="J15" s="395">
        <f t="shared" si="4"/>
        <v>1.910118240554332E-4</v>
      </c>
      <c r="K15" s="401">
        <f t="shared" si="5"/>
        <v>1.9101182405543319E-2</v>
      </c>
      <c r="L15" s="402">
        <f>'Malla 1'!I252</f>
        <v>6.2591108037921442E-8</v>
      </c>
      <c r="M15" s="402">
        <f>SUM(Accesorios!H21:H22)</f>
        <v>4.8369541105118203E-9</v>
      </c>
      <c r="N15" s="403">
        <f t="shared" si="0"/>
        <v>6.742806214843326E-8</v>
      </c>
      <c r="O15" s="394">
        <f>Sectorización!L17</f>
        <v>194.23403717631419</v>
      </c>
      <c r="P15" s="394">
        <f t="shared" si="7"/>
        <v>210.98821447293471</v>
      </c>
      <c r="Q15" s="404">
        <f t="shared" si="6"/>
        <v>16.754177296620526</v>
      </c>
      <c r="R15" s="405">
        <v>16.739999999999998</v>
      </c>
      <c r="S15" s="405">
        <v>16.71</v>
      </c>
      <c r="T15" s="405">
        <v>16.72</v>
      </c>
      <c r="U15" s="405">
        <v>16.71</v>
      </c>
      <c r="V15" s="349"/>
    </row>
    <row r="16" spans="2:26" ht="24.95" customHeight="1" x14ac:dyDescent="0.25">
      <c r="B16" s="393" t="s">
        <v>141</v>
      </c>
      <c r="C16" s="394">
        <f>'Malla 1'!C253</f>
        <v>17.547599999999999</v>
      </c>
      <c r="D16" s="395">
        <f>'Malla 1'!F253</f>
        <v>5.57E-2</v>
      </c>
      <c r="E16" s="396">
        <f t="shared" si="1"/>
        <v>2</v>
      </c>
      <c r="F16" s="397"/>
      <c r="G16" s="398">
        <f>'Malla 1'!G253</f>
        <v>3.6122414680169245E-6</v>
      </c>
      <c r="H16" s="399">
        <f t="shared" si="2"/>
        <v>3.6122414680169247E-3</v>
      </c>
      <c r="I16" s="400">
        <f t="shared" si="3"/>
        <v>2.4366899479589493E-3</v>
      </c>
      <c r="J16" s="395">
        <f t="shared" si="4"/>
        <v>1.4824378748074434E-3</v>
      </c>
      <c r="K16" s="401">
        <f t="shared" si="5"/>
        <v>0.14824378748074435</v>
      </c>
      <c r="L16" s="402">
        <f>'Malla 1'!I253</f>
        <v>1.8727470377499629E-6</v>
      </c>
      <c r="M16" s="402">
        <f>SUM(Accesorios!H23)</f>
        <v>2.2410993806481843E-8</v>
      </c>
      <c r="N16" s="403">
        <f t="shared" si="0"/>
        <v>1.8951580315564447E-6</v>
      </c>
      <c r="O16" s="394">
        <f>Sectorización!L14</f>
        <v>202</v>
      </c>
      <c r="P16" s="394">
        <f>P8-L16</f>
        <v>210.98821349659553</v>
      </c>
      <c r="Q16" s="404">
        <f t="shared" si="6"/>
        <v>8.9882134965955345</v>
      </c>
      <c r="R16" s="405">
        <v>8.99</v>
      </c>
      <c r="S16" s="405">
        <v>8.99</v>
      </c>
      <c r="T16" s="405">
        <v>8.99</v>
      </c>
      <c r="U16" s="405">
        <v>8.99</v>
      </c>
      <c r="V16" s="349"/>
    </row>
    <row r="17" spans="1:22" ht="24.95" customHeight="1" x14ac:dyDescent="0.25">
      <c r="B17" s="393" t="s">
        <v>85</v>
      </c>
      <c r="C17" s="394">
        <f>'Malla 1'!C254</f>
        <v>95.631299999999982</v>
      </c>
      <c r="D17" s="395">
        <f>'Malla 1'!F254</f>
        <v>5.57E-2</v>
      </c>
      <c r="E17" s="396">
        <f t="shared" si="1"/>
        <v>2</v>
      </c>
      <c r="F17" s="397"/>
      <c r="G17" s="398">
        <f>'Malla 1'!G254</f>
        <v>5.9323371523115942E-7</v>
      </c>
      <c r="H17" s="399">
        <f t="shared" si="2"/>
        <v>5.9323371523115943E-4</v>
      </c>
      <c r="I17" s="400">
        <f t="shared" si="3"/>
        <v>2.4366899479589493E-3</v>
      </c>
      <c r="J17" s="395">
        <f t="shared" si="4"/>
        <v>2.4345884289795312E-4</v>
      </c>
      <c r="K17" s="401">
        <f t="shared" si="5"/>
        <v>2.4345884289795311E-2</v>
      </c>
      <c r="L17" s="402">
        <f>'Malla 1'!I254</f>
        <v>3.5974049273219323E-7</v>
      </c>
      <c r="M17" s="402">
        <f>SUM(Accesorios!H24:H25)</f>
        <v>1.0275622467352375E-8</v>
      </c>
      <c r="N17" s="403">
        <f t="shared" si="0"/>
        <v>3.7001611519954563E-7</v>
      </c>
      <c r="O17" s="394">
        <f>Sectorización!L15</f>
        <v>194.57906331745801</v>
      </c>
      <c r="P17" s="394">
        <f>P16-L17</f>
        <v>210.98821313685505</v>
      </c>
      <c r="Q17" s="404">
        <f t="shared" si="6"/>
        <v>16.409149819397044</v>
      </c>
      <c r="R17" s="406">
        <v>15.99</v>
      </c>
      <c r="S17" s="405">
        <v>15.98</v>
      </c>
      <c r="T17" s="406">
        <v>15.98</v>
      </c>
      <c r="U17" s="405">
        <v>15.98</v>
      </c>
      <c r="V17" s="349"/>
    </row>
    <row r="18" spans="1:22" ht="24.95" customHeight="1" x14ac:dyDescent="0.25">
      <c r="B18" s="393" t="s">
        <v>86</v>
      </c>
      <c r="C18" s="394">
        <f>'Malla 1'!C255</f>
        <v>4.4747000000000003</v>
      </c>
      <c r="D18" s="395">
        <f>'Malla 1'!F255</f>
        <v>5.57E-2</v>
      </c>
      <c r="E18" s="396">
        <f t="shared" si="1"/>
        <v>2</v>
      </c>
      <c r="F18" s="397"/>
      <c r="G18" s="398">
        <f>'Malla 1'!G255</f>
        <v>1.1715776025566461E-7</v>
      </c>
      <c r="H18" s="399">
        <f t="shared" si="2"/>
        <v>1.1715776025566461E-4</v>
      </c>
      <c r="I18" s="400">
        <f t="shared" si="3"/>
        <v>2.4366899479589493E-3</v>
      </c>
      <c r="J18" s="395">
        <f t="shared" si="4"/>
        <v>4.8080700769418677E-5</v>
      </c>
      <c r="K18" s="401">
        <f t="shared" si="5"/>
        <v>4.808070076941868E-3</v>
      </c>
      <c r="L18" s="402">
        <f>'Malla 1'!I255</f>
        <v>8.3484784199628053E-10</v>
      </c>
      <c r="M18" s="402">
        <f>Accesorios!H26</f>
        <v>2.1217401670717314E-10</v>
      </c>
      <c r="N18" s="403">
        <f t="shared" si="0"/>
        <v>1.0470218587034537E-9</v>
      </c>
      <c r="O18" s="394">
        <f>Sectorización!L16</f>
        <v>194.41788864029897</v>
      </c>
      <c r="P18" s="394">
        <f t="shared" si="7"/>
        <v>210.98821313602019</v>
      </c>
      <c r="Q18" s="404">
        <f t="shared" si="6"/>
        <v>16.570324495721223</v>
      </c>
      <c r="R18" s="405">
        <v>16.55</v>
      </c>
      <c r="S18" s="405">
        <v>16.54</v>
      </c>
      <c r="T18" s="405">
        <v>16.54</v>
      </c>
      <c r="U18" s="405">
        <v>16.53</v>
      </c>
      <c r="V18" s="349"/>
    </row>
    <row r="19" spans="1:22" ht="24.95" customHeight="1" thickBot="1" x14ac:dyDescent="0.3">
      <c r="B19" s="409" t="s">
        <v>142</v>
      </c>
      <c r="C19" s="410">
        <f>'Malla 1'!C256</f>
        <v>44.459099999999999</v>
      </c>
      <c r="D19" s="411">
        <f>'Malla 1'!F256</f>
        <v>5.57E-2</v>
      </c>
      <c r="E19" s="412">
        <f t="shared" si="1"/>
        <v>2</v>
      </c>
      <c r="F19" s="407"/>
      <c r="G19" s="413">
        <f>'Malla 1'!G256</f>
        <v>3.2603984178485028E-7</v>
      </c>
      <c r="H19" s="414">
        <f t="shared" si="2"/>
        <v>3.2603984178485029E-4</v>
      </c>
      <c r="I19" s="415">
        <f t="shared" si="3"/>
        <v>2.4366899479589493E-3</v>
      </c>
      <c r="J19" s="411">
        <f t="shared" si="4"/>
        <v>1.3380440218007706E-4</v>
      </c>
      <c r="K19" s="416">
        <f t="shared" si="5"/>
        <v>1.3380440218007706E-2</v>
      </c>
      <c r="L19" s="417">
        <f>'Malla 1'!I256</f>
        <v>5.5201579389336459E-8</v>
      </c>
      <c r="M19" s="417">
        <f>Accesorios!H27</f>
        <v>1.6432037771253347E-9</v>
      </c>
      <c r="N19" s="403">
        <f t="shared" si="0"/>
        <v>5.6844783166461791E-8</v>
      </c>
      <c r="O19" s="410">
        <f>Sectorización!L17</f>
        <v>194.23403717631419</v>
      </c>
      <c r="P19" s="410">
        <f t="shared" si="7"/>
        <v>210.98821308081861</v>
      </c>
      <c r="Q19" s="418">
        <f t="shared" si="6"/>
        <v>16.754175904504422</v>
      </c>
      <c r="R19" s="419">
        <v>16.75</v>
      </c>
      <c r="S19" s="420">
        <v>16.71</v>
      </c>
      <c r="T19" s="419">
        <v>16.72</v>
      </c>
      <c r="U19" s="420">
        <v>16.71</v>
      </c>
      <c r="V19" s="349"/>
    </row>
    <row r="20" spans="1:22" s="147" customFormat="1" ht="24.95" customHeight="1" x14ac:dyDescent="0.25">
      <c r="A20" s="150"/>
      <c r="B20" s="421" t="s">
        <v>144</v>
      </c>
      <c r="C20" s="382">
        <f>'Malla 2'!C164</f>
        <v>23.626799999999999</v>
      </c>
      <c r="D20" s="383">
        <f>'Malla 2'!F164</f>
        <v>5.57E-2</v>
      </c>
      <c r="E20" s="384">
        <f>IF(D20=0.0557,2,0)</f>
        <v>2</v>
      </c>
      <c r="F20" s="408"/>
      <c r="G20" s="422">
        <f>'Malla 2'!G164</f>
        <v>1.7431538081146822E-7</v>
      </c>
      <c r="H20" s="423">
        <f>G20*1000</f>
        <v>1.7431538081146822E-4</v>
      </c>
      <c r="I20" s="424">
        <f>PI()*((D20/2)^2)</f>
        <v>2.4366899479589493E-3</v>
      </c>
      <c r="J20" s="383">
        <f>G20/I20</f>
        <v>7.1537776464945999E-5</v>
      </c>
      <c r="K20" s="389">
        <f>J20*100</f>
        <v>7.1537776464946001E-3</v>
      </c>
      <c r="L20" s="391">
        <f>'Malla 2'!I164</f>
        <v>9.2005221198305243E-9</v>
      </c>
      <c r="M20" s="425">
        <f>SUM(Accesorios!H28:H30)</f>
        <v>6.2626801487439314E-10</v>
      </c>
      <c r="N20" s="391">
        <f>L20+M20</f>
        <v>9.826790134704917E-9</v>
      </c>
      <c r="O20" s="408">
        <f>Sectorización!L18</f>
        <v>194.21120303185927</v>
      </c>
      <c r="P20" s="382">
        <f>P19-L20</f>
        <v>210.98821307161808</v>
      </c>
      <c r="Q20" s="426">
        <f>P20-O20</f>
        <v>16.777010039758807</v>
      </c>
      <c r="R20" s="390">
        <v>16.75</v>
      </c>
      <c r="S20" s="390">
        <v>16.72</v>
      </c>
      <c r="T20" s="390">
        <v>16.73</v>
      </c>
      <c r="U20" s="390">
        <v>16.72</v>
      </c>
      <c r="V20" s="349"/>
    </row>
    <row r="21" spans="1:22" s="208" customFormat="1" ht="24.95" customHeight="1" x14ac:dyDescent="0.25">
      <c r="A21" s="209"/>
      <c r="B21" s="393" t="s">
        <v>40</v>
      </c>
      <c r="C21" s="394">
        <f>'Malla 2'!C165</f>
        <v>828.37099999999998</v>
      </c>
      <c r="D21" s="395">
        <f>'Malla 2'!F165</f>
        <v>5.57E-2</v>
      </c>
      <c r="E21" s="396">
        <f t="shared" ref="E21:E25" si="8">IF(D21=0.0557,2,0)</f>
        <v>2</v>
      </c>
      <c r="F21" s="397"/>
      <c r="G21" s="398">
        <f>'Malla 2'!G165</f>
        <v>9.7424088225477247E-8</v>
      </c>
      <c r="H21" s="399">
        <f t="shared" ref="H21:H25" si="9">G21*1000</f>
        <v>9.7424088225477252E-5</v>
      </c>
      <c r="I21" s="427">
        <f t="shared" ref="I21:I25" si="10">PI()*((D21/2)^2)</f>
        <v>2.4366899479589493E-3</v>
      </c>
      <c r="J21" s="395">
        <f t="shared" ref="J21:J25" si="11">G21/I21</f>
        <v>3.9982143935498575E-5</v>
      </c>
      <c r="K21" s="401">
        <f t="shared" ref="K21:K25" si="12">J21*100</f>
        <v>3.9982143935498576E-3</v>
      </c>
      <c r="L21" s="402">
        <f>'Malla 2'!I165</f>
        <v>1.0983132802104776E-7</v>
      </c>
      <c r="M21" s="428">
        <f>SUM(Accesorios!H31:H32)</f>
        <v>1.7932174352914727E-10</v>
      </c>
      <c r="N21" s="402">
        <f t="shared" ref="N21:N25" si="13">L21+M21</f>
        <v>1.1001064976457691E-7</v>
      </c>
      <c r="O21" s="397">
        <f>Sectorización!L19</f>
        <v>191.43270753762943</v>
      </c>
      <c r="P21" s="394">
        <f>P20-L21</f>
        <v>210.98821296178676</v>
      </c>
      <c r="Q21" s="404">
        <f t="shared" ref="Q21:Q25" si="14">P21-O21</f>
        <v>19.555505424157332</v>
      </c>
      <c r="R21" s="406">
        <v>19.190000000000001</v>
      </c>
      <c r="S21" s="405">
        <v>19.079999999999998</v>
      </c>
      <c r="T21" s="406">
        <v>19.170000000000002</v>
      </c>
      <c r="U21" s="405">
        <v>19.07</v>
      </c>
      <c r="V21" s="349"/>
    </row>
    <row r="22" spans="1:22" s="208" customFormat="1" ht="24.95" customHeight="1" x14ac:dyDescent="0.25">
      <c r="A22" s="209"/>
      <c r="B22" s="393" t="s">
        <v>145</v>
      </c>
      <c r="C22" s="394">
        <f>'Malla 2'!C166</f>
        <v>6.3987999999999996</v>
      </c>
      <c r="D22" s="395">
        <f>'Malla 2'!F166</f>
        <v>5.57E-2</v>
      </c>
      <c r="E22" s="396">
        <f t="shared" si="8"/>
        <v>2</v>
      </c>
      <c r="F22" s="397"/>
      <c r="G22" s="398">
        <f>'Malla 2'!G166</f>
        <v>1.986727522228901E-7</v>
      </c>
      <c r="H22" s="399">
        <f t="shared" si="9"/>
        <v>1.9867275222289009E-4</v>
      </c>
      <c r="I22" s="427">
        <f t="shared" si="10"/>
        <v>2.4366899479589493E-3</v>
      </c>
      <c r="J22" s="395">
        <f t="shared" si="11"/>
        <v>8.1533866214413057E-5</v>
      </c>
      <c r="K22" s="401">
        <f t="shared" si="12"/>
        <v>8.153386621441305E-3</v>
      </c>
      <c r="L22" s="402">
        <f>'Malla 2'!I166</f>
        <v>3.1746518366683906E-9</v>
      </c>
      <c r="M22" s="428">
        <f>Accesorios!H33</f>
        <v>6.1013606015529546E-10</v>
      </c>
      <c r="N22" s="402">
        <f t="shared" si="13"/>
        <v>3.7847878968236859E-9</v>
      </c>
      <c r="O22" s="397">
        <f>Sectorización!L20</f>
        <v>191.57637897815874</v>
      </c>
      <c r="P22" s="394">
        <f>P21-L22</f>
        <v>210.98821295861211</v>
      </c>
      <c r="Q22" s="404">
        <f t="shared" si="14"/>
        <v>19.411833980453366</v>
      </c>
      <c r="R22" s="406">
        <v>18.96</v>
      </c>
      <c r="S22" s="405">
        <v>18.93</v>
      </c>
      <c r="T22" s="406">
        <v>19.02</v>
      </c>
      <c r="U22" s="405">
        <v>18.920000000000002</v>
      </c>
      <c r="V22" s="349"/>
    </row>
    <row r="23" spans="1:22" s="208" customFormat="1" ht="24.95" customHeight="1" x14ac:dyDescent="0.25">
      <c r="A23" s="209"/>
      <c r="B23" s="393" t="s">
        <v>146</v>
      </c>
      <c r="C23" s="394">
        <f>'Malla 2'!C167</f>
        <v>212.8605</v>
      </c>
      <c r="D23" s="395">
        <f>'Malla 2'!F167</f>
        <v>5.57E-2</v>
      </c>
      <c r="E23" s="396">
        <f t="shared" si="8"/>
        <v>2</v>
      </c>
      <c r="F23" s="397"/>
      <c r="G23" s="398">
        <f>'Malla 2'!G167</f>
        <v>2.370700970013962E-7</v>
      </c>
      <c r="H23" s="399">
        <f t="shared" si="9"/>
        <v>2.3707009700139621E-4</v>
      </c>
      <c r="I23" s="427">
        <f t="shared" si="10"/>
        <v>2.4366899479589493E-3</v>
      </c>
      <c r="J23" s="395">
        <f t="shared" si="11"/>
        <v>9.7291859885568878E-5</v>
      </c>
      <c r="K23" s="401">
        <f t="shared" si="12"/>
        <v>9.729185988556887E-3</v>
      </c>
      <c r="L23" s="402">
        <f>'Malla 2'!I167</f>
        <v>1.4648761949252616E-7</v>
      </c>
      <c r="M23" s="428">
        <f>SUM(Accesorios!H34:H36)</f>
        <v>2.1236542117055854E-9</v>
      </c>
      <c r="N23" s="402">
        <f t="shared" si="13"/>
        <v>1.4861127370423173E-7</v>
      </c>
      <c r="O23" s="397">
        <f>Sectorización!L21</f>
        <v>193.27366527166598</v>
      </c>
      <c r="P23" s="394">
        <f>P22-L23</f>
        <v>210.98821281212449</v>
      </c>
      <c r="Q23" s="404">
        <f t="shared" si="14"/>
        <v>17.714547540458511</v>
      </c>
      <c r="R23" s="406">
        <v>17.350000000000001</v>
      </c>
      <c r="S23" s="405">
        <v>17.239999999999998</v>
      </c>
      <c r="T23" s="406">
        <v>17.329999999999998</v>
      </c>
      <c r="U23" s="405">
        <v>17.23</v>
      </c>
      <c r="V23" s="349"/>
    </row>
    <row r="24" spans="1:22" s="208" customFormat="1" ht="24.95" customHeight="1" thickBot="1" x14ac:dyDescent="0.3">
      <c r="A24" s="209"/>
      <c r="B24" s="393" t="s">
        <v>147</v>
      </c>
      <c r="C24" s="394">
        <f>'Malla 2'!C168</f>
        <v>349.82990000000001</v>
      </c>
      <c r="D24" s="395">
        <f>'Malla 2'!F168</f>
        <v>5.57E-2</v>
      </c>
      <c r="E24" s="396">
        <f t="shared" si="8"/>
        <v>2</v>
      </c>
      <c r="F24" s="407"/>
      <c r="G24" s="398">
        <f>'Malla 2'!G168</f>
        <v>4.7470560668506679E-8</v>
      </c>
      <c r="H24" s="399">
        <f t="shared" si="9"/>
        <v>4.7470560668506676E-5</v>
      </c>
      <c r="I24" s="427">
        <f t="shared" si="10"/>
        <v>2.4366899479589493E-3</v>
      </c>
      <c r="J24" s="429">
        <f t="shared" si="11"/>
        <v>1.9481576106254128E-5</v>
      </c>
      <c r="K24" s="401">
        <f t="shared" si="12"/>
        <v>1.9481576106254127E-3</v>
      </c>
      <c r="L24" s="402">
        <f>'Malla 2'!I168</f>
        <v>1.2249895080670432E-8</v>
      </c>
      <c r="M24" s="428">
        <f>SUM(Accesorios!H37:H38)</f>
        <v>1.0450090561658004E-10</v>
      </c>
      <c r="N24" s="402">
        <f t="shared" si="13"/>
        <v>1.2354395986287013E-8</v>
      </c>
      <c r="O24" s="397">
        <f>Sectorización!L22</f>
        <v>194</v>
      </c>
      <c r="P24" s="394">
        <f>P23-L24</f>
        <v>210.98821279987459</v>
      </c>
      <c r="Q24" s="404">
        <f t="shared" si="14"/>
        <v>16.988212799874589</v>
      </c>
      <c r="R24" s="406">
        <v>16.59</v>
      </c>
      <c r="S24" s="405">
        <v>16.48</v>
      </c>
      <c r="T24" s="406">
        <v>16.57</v>
      </c>
      <c r="U24" s="405">
        <v>16.47</v>
      </c>
      <c r="V24" s="349"/>
    </row>
    <row r="25" spans="1:22" s="208" customFormat="1" ht="24.95" customHeight="1" thickBot="1" x14ac:dyDescent="0.3">
      <c r="A25" s="209"/>
      <c r="B25" s="409" t="s">
        <v>148</v>
      </c>
      <c r="C25" s="410">
        <f>'Malla 2'!C169</f>
        <v>401.94900000000001</v>
      </c>
      <c r="D25" s="411">
        <f>'Malla 2'!F169</f>
        <v>5.57E-2</v>
      </c>
      <c r="E25" s="412">
        <f t="shared" si="8"/>
        <v>2</v>
      </c>
      <c r="F25" s="430"/>
      <c r="G25" s="413">
        <f>'Malla 2'!G169</f>
        <v>1.0915690461576468E-6</v>
      </c>
      <c r="H25" s="414">
        <f t="shared" si="9"/>
        <v>1.0915690461576468E-3</v>
      </c>
      <c r="I25" s="431">
        <f t="shared" si="10"/>
        <v>2.4366899479589493E-3</v>
      </c>
      <c r="J25" s="411">
        <f t="shared" si="11"/>
        <v>4.4797207255358053E-4</v>
      </c>
      <c r="K25" s="416">
        <f t="shared" si="12"/>
        <v>4.4797207255358053E-2</v>
      </c>
      <c r="L25" s="417">
        <f>'Malla 2'!I169</f>
        <v>4.6771101768766479E-6</v>
      </c>
      <c r="M25" s="432">
        <f>SUM(Accesorios!H39:H41)</f>
        <v>4.5022817778247099E-8</v>
      </c>
      <c r="N25" s="417">
        <f t="shared" si="13"/>
        <v>4.7221329946548946E-6</v>
      </c>
      <c r="O25" s="407">
        <f>Sectorización!L22</f>
        <v>194</v>
      </c>
      <c r="P25" s="410">
        <f>P22-L25</f>
        <v>210.98820828150193</v>
      </c>
      <c r="Q25" s="418">
        <f t="shared" si="14"/>
        <v>16.988208281501926</v>
      </c>
      <c r="R25" s="419">
        <v>16.59</v>
      </c>
      <c r="S25" s="420">
        <v>16.48</v>
      </c>
      <c r="T25" s="419">
        <v>16.57</v>
      </c>
      <c r="U25" s="420">
        <v>16.47</v>
      </c>
      <c r="V25" s="349"/>
    </row>
    <row r="26" spans="1:22" s="208" customFormat="1" ht="22.15" customHeight="1" x14ac:dyDescent="0.25">
      <c r="A26" s="209"/>
      <c r="B26" s="222"/>
      <c r="C26" s="198"/>
      <c r="D26" s="198"/>
      <c r="E26" s="198"/>
      <c r="F26" s="198"/>
      <c r="G26" s="198"/>
      <c r="H26" s="34"/>
      <c r="I26" s="34"/>
      <c r="J26" s="34"/>
      <c r="K26" s="33"/>
      <c r="L26" s="198"/>
      <c r="M26" s="198"/>
      <c r="N26" s="198"/>
      <c r="O26" s="223"/>
      <c r="P26" s="198"/>
      <c r="Q26" s="33"/>
      <c r="R26" s="351"/>
      <c r="S26" s="351"/>
      <c r="T26" s="351"/>
      <c r="U26" s="351"/>
      <c r="V26" s="349"/>
    </row>
    <row r="27" spans="1:22" s="208" customFormat="1" ht="22.15" customHeight="1" x14ac:dyDescent="0.25">
      <c r="A27" s="209"/>
      <c r="B27" s="222"/>
      <c r="C27" s="198"/>
      <c r="D27" s="198"/>
      <c r="E27" s="198"/>
      <c r="F27" s="198"/>
      <c r="G27" s="198"/>
      <c r="H27" s="34"/>
      <c r="I27" s="34"/>
      <c r="J27" s="34"/>
      <c r="K27" s="33"/>
      <c r="L27" s="198"/>
      <c r="M27" s="198"/>
      <c r="N27" s="198"/>
      <c r="O27" s="223"/>
      <c r="P27" s="198"/>
      <c r="Q27" s="33"/>
      <c r="R27" s="351"/>
      <c r="S27" s="351"/>
      <c r="T27" s="351"/>
      <c r="U27" s="351"/>
      <c r="V27" s="349"/>
    </row>
    <row r="28" spans="1:22" s="208" customFormat="1" ht="22.15" customHeight="1" x14ac:dyDescent="0.25">
      <c r="A28" s="209"/>
      <c r="B28" s="222"/>
      <c r="C28" s="198"/>
      <c r="D28" s="198"/>
      <c r="E28" s="198"/>
      <c r="F28" s="198"/>
      <c r="G28" s="198"/>
      <c r="H28" s="34"/>
      <c r="I28" s="34"/>
      <c r="J28" s="34"/>
      <c r="K28" s="33"/>
      <c r="L28" s="198"/>
      <c r="M28" s="198"/>
      <c r="N28" s="198"/>
      <c r="O28" s="223"/>
      <c r="P28" s="198"/>
      <c r="Q28" s="33"/>
      <c r="R28" s="351"/>
      <c r="S28" s="351"/>
      <c r="T28" s="351"/>
      <c r="U28" s="351"/>
      <c r="V28" s="349"/>
    </row>
    <row r="29" spans="1:22" s="147" customFormat="1" ht="22.15" customHeight="1" x14ac:dyDescent="0.25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310"/>
      <c r="N29" s="304"/>
      <c r="O29" s="153"/>
      <c r="P29" s="258"/>
      <c r="Q29" s="153"/>
      <c r="R29" s="352"/>
      <c r="S29" s="352"/>
      <c r="T29" s="352"/>
      <c r="U29" s="352"/>
      <c r="V29" s="349"/>
    </row>
    <row r="30" spans="1:22" s="147" customFormat="1" ht="22.15" customHeight="1" x14ac:dyDescent="0.25">
      <c r="A30" s="153"/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310"/>
      <c r="N30" s="304"/>
      <c r="O30" s="153"/>
      <c r="P30" s="258"/>
      <c r="Q30" s="153"/>
      <c r="R30" s="352"/>
      <c r="S30" s="352"/>
      <c r="T30" s="352"/>
      <c r="U30" s="352"/>
      <c r="V30" s="349"/>
    </row>
    <row r="31" spans="1:22" s="147" customFormat="1" ht="22.15" customHeight="1" x14ac:dyDescent="0.25">
      <c r="M31" s="306"/>
      <c r="N31" s="303"/>
      <c r="P31" s="259"/>
      <c r="R31" s="350"/>
      <c r="S31" s="350"/>
      <c r="T31" s="350"/>
      <c r="U31" s="350"/>
      <c r="V31" s="350"/>
    </row>
    <row r="32" spans="1:22" s="147" customFormat="1" ht="22.15" customHeight="1" x14ac:dyDescent="0.25">
      <c r="M32" s="306"/>
      <c r="N32" s="303"/>
      <c r="P32" s="259"/>
      <c r="R32" s="350"/>
      <c r="S32" s="350"/>
      <c r="T32" s="350"/>
      <c r="U32" s="350"/>
      <c r="V32" s="350"/>
    </row>
    <row r="33" spans="13:22" s="147" customFormat="1" ht="22.15" customHeight="1" x14ac:dyDescent="0.25">
      <c r="M33" s="306"/>
      <c r="N33" s="303"/>
      <c r="P33" s="259"/>
      <c r="R33" s="350"/>
      <c r="S33" s="350"/>
      <c r="T33" s="350"/>
      <c r="U33" s="350"/>
      <c r="V33" s="350"/>
    </row>
    <row r="34" spans="13:22" s="147" customFormat="1" ht="22.15" customHeight="1" x14ac:dyDescent="0.25">
      <c r="M34" s="306"/>
      <c r="N34" s="303"/>
      <c r="P34" s="259"/>
      <c r="R34" s="350"/>
      <c r="S34" s="350"/>
      <c r="T34" s="350"/>
      <c r="U34" s="350"/>
      <c r="V34" s="350"/>
    </row>
    <row r="35" spans="13:22" s="147" customFormat="1" ht="22.15" customHeight="1" x14ac:dyDescent="0.25">
      <c r="M35" s="306"/>
      <c r="N35" s="303"/>
      <c r="P35" s="259"/>
      <c r="R35" s="350"/>
      <c r="S35" s="350"/>
      <c r="T35" s="350"/>
      <c r="U35" s="350"/>
      <c r="V35" s="350"/>
    </row>
    <row r="36" spans="13:22" s="147" customFormat="1" ht="22.15" customHeight="1" x14ac:dyDescent="0.25">
      <c r="M36" s="306"/>
      <c r="N36" s="303"/>
      <c r="P36" s="259"/>
      <c r="R36" s="350"/>
      <c r="S36" s="350"/>
      <c r="T36" s="350"/>
      <c r="U36" s="350"/>
      <c r="V36" s="350"/>
    </row>
    <row r="37" spans="13:22" s="147" customFormat="1" ht="22.15" customHeight="1" x14ac:dyDescent="0.25">
      <c r="M37" s="306"/>
      <c r="N37" s="303"/>
      <c r="P37" s="259"/>
      <c r="R37" s="350"/>
      <c r="S37" s="350"/>
      <c r="T37" s="350"/>
      <c r="U37" s="350"/>
      <c r="V37" s="350"/>
    </row>
    <row r="38" spans="13:22" s="147" customFormat="1" ht="22.15" customHeight="1" x14ac:dyDescent="0.25">
      <c r="M38" s="306"/>
      <c r="N38" s="303"/>
      <c r="P38" s="259"/>
      <c r="R38" s="350"/>
      <c r="S38" s="350"/>
      <c r="T38" s="350"/>
      <c r="U38" s="350"/>
      <c r="V38" s="350"/>
    </row>
    <row r="39" spans="13:22" s="147" customFormat="1" ht="22.15" customHeight="1" x14ac:dyDescent="0.25">
      <c r="M39" s="306"/>
      <c r="N39" s="303"/>
      <c r="P39" s="259"/>
      <c r="R39" s="350"/>
      <c r="S39" s="350"/>
      <c r="T39" s="350"/>
      <c r="U39" s="350"/>
      <c r="V39" s="350"/>
    </row>
    <row r="40" spans="13:22" s="147" customFormat="1" ht="22.15" customHeight="1" x14ac:dyDescent="0.25">
      <c r="M40" s="306"/>
      <c r="N40" s="303"/>
      <c r="P40" s="259"/>
      <c r="R40" s="350"/>
      <c r="S40" s="350"/>
      <c r="T40" s="350"/>
      <c r="U40" s="350"/>
      <c r="V40" s="350"/>
    </row>
    <row r="41" spans="13:22" s="147" customFormat="1" ht="22.15" customHeight="1" x14ac:dyDescent="0.25">
      <c r="M41" s="306"/>
      <c r="N41" s="303"/>
      <c r="P41" s="259"/>
      <c r="R41" s="350"/>
      <c r="S41" s="350"/>
      <c r="T41" s="350"/>
      <c r="U41" s="350"/>
      <c r="V41" s="350"/>
    </row>
    <row r="42" spans="13:22" s="147" customFormat="1" ht="22.15" customHeight="1" x14ac:dyDescent="0.25">
      <c r="M42" s="306"/>
      <c r="N42" s="303"/>
      <c r="P42" s="259"/>
      <c r="R42" s="350"/>
      <c r="S42" s="350"/>
      <c r="T42" s="350"/>
      <c r="U42" s="350"/>
      <c r="V42" s="350"/>
    </row>
    <row r="43" spans="13:22" s="147" customFormat="1" ht="22.15" customHeight="1" x14ac:dyDescent="0.25">
      <c r="M43" s="306"/>
      <c r="N43" s="303"/>
      <c r="P43" s="259"/>
      <c r="R43" s="350"/>
      <c r="S43" s="350"/>
      <c r="T43" s="350"/>
      <c r="U43" s="350"/>
      <c r="V43" s="350"/>
    </row>
    <row r="44" spans="13:22" s="147" customFormat="1" ht="22.15" customHeight="1" x14ac:dyDescent="0.25">
      <c r="M44" s="306"/>
      <c r="N44" s="303"/>
      <c r="P44" s="259"/>
      <c r="R44" s="350"/>
      <c r="S44" s="350"/>
      <c r="T44" s="350"/>
      <c r="U44" s="350"/>
      <c r="V44" s="350"/>
    </row>
    <row r="45" spans="13:22" s="147" customFormat="1" ht="22.15" customHeight="1" x14ac:dyDescent="0.25">
      <c r="M45" s="306"/>
      <c r="N45" s="303"/>
      <c r="P45" s="259"/>
      <c r="R45" s="350"/>
      <c r="S45" s="350"/>
      <c r="T45" s="350"/>
      <c r="U45" s="350"/>
      <c r="V45" s="350"/>
    </row>
    <row r="46" spans="13:22" s="147" customFormat="1" ht="22.15" customHeight="1" x14ac:dyDescent="0.25">
      <c r="M46" s="306"/>
      <c r="N46" s="303"/>
      <c r="P46" s="259"/>
      <c r="R46" s="350"/>
      <c r="S46" s="350"/>
      <c r="T46" s="350"/>
      <c r="U46" s="350"/>
      <c r="V46" s="350"/>
    </row>
    <row r="47" spans="13:22" s="147" customFormat="1" ht="22.15" customHeight="1" x14ac:dyDescent="0.25">
      <c r="M47" s="306"/>
      <c r="N47" s="303"/>
      <c r="P47" s="259"/>
      <c r="R47" s="350"/>
      <c r="S47" s="350"/>
      <c r="T47" s="350"/>
      <c r="U47" s="350"/>
      <c r="V47" s="350"/>
    </row>
    <row r="48" spans="13:22" s="147" customFormat="1" ht="22.15" customHeight="1" x14ac:dyDescent="0.25">
      <c r="M48" s="306"/>
      <c r="N48" s="303"/>
      <c r="P48" s="259"/>
      <c r="R48" s="350"/>
      <c r="S48" s="350"/>
      <c r="T48" s="350"/>
      <c r="U48" s="350"/>
      <c r="V48" s="350"/>
    </row>
    <row r="49" spans="13:22" s="147" customFormat="1" ht="22.15" customHeight="1" x14ac:dyDescent="0.25">
      <c r="M49" s="306"/>
      <c r="N49" s="303"/>
      <c r="P49" s="259"/>
      <c r="R49" s="350"/>
      <c r="S49" s="350"/>
      <c r="T49" s="350"/>
      <c r="U49" s="350"/>
      <c r="V49" s="350"/>
    </row>
    <row r="50" spans="13:22" s="147" customFormat="1" ht="22.15" customHeight="1" x14ac:dyDescent="0.25">
      <c r="M50" s="306"/>
      <c r="N50" s="303"/>
      <c r="P50" s="259"/>
      <c r="R50" s="350"/>
      <c r="S50" s="350"/>
      <c r="T50" s="350"/>
      <c r="U50" s="350"/>
      <c r="V50" s="350"/>
    </row>
    <row r="51" spans="13:22" s="147" customFormat="1" ht="22.15" customHeight="1" x14ac:dyDescent="0.25">
      <c r="M51" s="306"/>
      <c r="N51" s="303"/>
      <c r="P51" s="259"/>
      <c r="R51" s="350"/>
      <c r="S51" s="350"/>
      <c r="T51" s="350"/>
      <c r="U51" s="350"/>
      <c r="V51" s="350"/>
    </row>
    <row r="52" spans="13:22" s="147" customFormat="1" ht="22.15" customHeight="1" x14ac:dyDescent="0.25">
      <c r="M52" s="306"/>
      <c r="N52" s="303"/>
      <c r="P52" s="259"/>
      <c r="R52" s="350"/>
      <c r="S52" s="350"/>
      <c r="T52" s="350"/>
      <c r="U52" s="350"/>
      <c r="V52" s="350"/>
    </row>
    <row r="53" spans="13:22" s="147" customFormat="1" ht="22.15" customHeight="1" x14ac:dyDescent="0.25">
      <c r="M53" s="306"/>
      <c r="N53" s="303"/>
      <c r="P53" s="259"/>
      <c r="R53" s="350"/>
      <c r="S53" s="350"/>
      <c r="T53" s="350"/>
      <c r="U53" s="350"/>
      <c r="V53" s="350"/>
    </row>
    <row r="54" spans="13:22" s="147" customFormat="1" ht="22.15" customHeight="1" x14ac:dyDescent="0.25">
      <c r="M54" s="306"/>
      <c r="N54" s="303"/>
      <c r="P54" s="259"/>
      <c r="R54" s="350"/>
      <c r="S54" s="350"/>
      <c r="T54" s="350"/>
      <c r="U54" s="350"/>
      <c r="V54" s="350"/>
    </row>
    <row r="55" spans="13:22" s="147" customFormat="1" ht="22.15" customHeight="1" x14ac:dyDescent="0.25">
      <c r="M55" s="306"/>
      <c r="N55" s="303"/>
      <c r="P55" s="259"/>
      <c r="R55" s="350"/>
      <c r="S55" s="350"/>
      <c r="T55" s="350"/>
      <c r="U55" s="350"/>
      <c r="V55" s="350"/>
    </row>
    <row r="56" spans="13:22" s="147" customFormat="1" ht="22.15" customHeight="1" x14ac:dyDescent="0.25">
      <c r="M56" s="306"/>
      <c r="N56" s="303"/>
      <c r="P56" s="259"/>
      <c r="R56" s="350"/>
      <c r="S56" s="350"/>
      <c r="T56" s="350"/>
      <c r="U56" s="350"/>
      <c r="V56" s="350"/>
    </row>
    <row r="57" spans="13:22" s="147" customFormat="1" ht="22.15" customHeight="1" x14ac:dyDescent="0.25">
      <c r="M57" s="306"/>
      <c r="N57" s="303"/>
      <c r="P57" s="259"/>
      <c r="R57" s="350"/>
      <c r="S57" s="350"/>
      <c r="T57" s="350"/>
      <c r="U57" s="350"/>
      <c r="V57" s="350"/>
    </row>
    <row r="58" spans="13:22" s="147" customFormat="1" ht="22.15" customHeight="1" x14ac:dyDescent="0.25">
      <c r="M58" s="306"/>
      <c r="N58" s="303"/>
      <c r="P58" s="259"/>
      <c r="R58" s="350"/>
      <c r="S58" s="350"/>
      <c r="T58" s="350"/>
      <c r="U58" s="350"/>
      <c r="V58" s="350"/>
    </row>
    <row r="59" spans="13:22" s="147" customFormat="1" ht="22.15" customHeight="1" x14ac:dyDescent="0.25">
      <c r="M59" s="306"/>
      <c r="N59" s="303"/>
      <c r="P59" s="259"/>
      <c r="R59" s="350"/>
      <c r="S59" s="350"/>
      <c r="T59" s="350"/>
      <c r="U59" s="350"/>
      <c r="V59" s="350"/>
    </row>
    <row r="60" spans="13:22" s="147" customFormat="1" ht="22.15" customHeight="1" x14ac:dyDescent="0.25">
      <c r="M60" s="306"/>
      <c r="N60" s="303"/>
      <c r="P60" s="259"/>
      <c r="R60" s="350"/>
      <c r="S60" s="350"/>
      <c r="T60" s="350"/>
      <c r="U60" s="350"/>
      <c r="V60" s="350"/>
    </row>
    <row r="61" spans="13:22" s="147" customFormat="1" ht="22.15" customHeight="1" x14ac:dyDescent="0.25">
      <c r="M61" s="306"/>
      <c r="N61" s="303"/>
      <c r="P61" s="259"/>
      <c r="R61" s="350"/>
      <c r="S61" s="350"/>
      <c r="T61" s="350"/>
      <c r="U61" s="350"/>
      <c r="V61" s="350"/>
    </row>
    <row r="62" spans="13:22" s="147" customFormat="1" ht="22.15" customHeight="1" x14ac:dyDescent="0.25">
      <c r="M62" s="306"/>
      <c r="N62" s="303"/>
      <c r="P62" s="259"/>
      <c r="R62" s="350"/>
      <c r="S62" s="350"/>
      <c r="T62" s="350"/>
      <c r="U62" s="350"/>
      <c r="V62" s="350"/>
    </row>
    <row r="63" spans="13:22" s="147" customFormat="1" ht="22.15" customHeight="1" x14ac:dyDescent="0.25">
      <c r="M63" s="306"/>
      <c r="N63" s="303"/>
      <c r="P63" s="259"/>
      <c r="R63" s="350"/>
      <c r="S63" s="350"/>
      <c r="T63" s="350"/>
      <c r="U63" s="350"/>
      <c r="V63" s="350"/>
    </row>
    <row r="64" spans="13:22" s="147" customFormat="1" ht="22.15" customHeight="1" x14ac:dyDescent="0.25">
      <c r="M64" s="306"/>
      <c r="N64" s="303"/>
      <c r="P64" s="259"/>
      <c r="R64" s="350"/>
      <c r="S64" s="350"/>
      <c r="T64" s="350"/>
      <c r="U64" s="350"/>
      <c r="V64" s="350"/>
    </row>
    <row r="65" spans="13:22" s="147" customFormat="1" ht="22.15" customHeight="1" x14ac:dyDescent="0.25">
      <c r="M65" s="306"/>
      <c r="N65" s="303"/>
      <c r="P65" s="259"/>
      <c r="R65" s="350"/>
      <c r="S65" s="350"/>
      <c r="T65" s="350"/>
      <c r="U65" s="350"/>
      <c r="V65" s="350"/>
    </row>
    <row r="66" spans="13:22" s="147" customFormat="1" ht="22.15" customHeight="1" x14ac:dyDescent="0.25">
      <c r="M66" s="306"/>
      <c r="N66" s="303"/>
      <c r="P66" s="259"/>
      <c r="R66" s="350"/>
      <c r="S66" s="350"/>
      <c r="T66" s="350"/>
      <c r="U66" s="350"/>
      <c r="V66" s="350"/>
    </row>
    <row r="67" spans="13:22" s="147" customFormat="1" ht="22.15" customHeight="1" x14ac:dyDescent="0.25">
      <c r="M67" s="306"/>
      <c r="N67" s="303"/>
      <c r="P67" s="259"/>
      <c r="R67" s="350"/>
      <c r="S67" s="350"/>
      <c r="T67" s="350"/>
      <c r="U67" s="350"/>
      <c r="V67" s="350"/>
    </row>
    <row r="68" spans="13:22" s="147" customFormat="1" ht="22.15" customHeight="1" x14ac:dyDescent="0.25">
      <c r="M68" s="306"/>
      <c r="N68" s="303"/>
      <c r="P68" s="259"/>
      <c r="R68" s="350"/>
      <c r="S68" s="350"/>
      <c r="T68" s="350"/>
      <c r="U68" s="350"/>
      <c r="V68" s="350"/>
    </row>
    <row r="69" spans="13:22" s="147" customFormat="1" ht="22.15" customHeight="1" x14ac:dyDescent="0.25">
      <c r="M69" s="306"/>
      <c r="N69" s="303"/>
      <c r="P69" s="259"/>
      <c r="R69" s="350"/>
      <c r="S69" s="350"/>
      <c r="T69" s="350"/>
      <c r="U69" s="350"/>
      <c r="V69" s="350"/>
    </row>
    <row r="70" spans="13:22" s="147" customFormat="1" ht="22.15" customHeight="1" x14ac:dyDescent="0.25">
      <c r="M70" s="306"/>
      <c r="N70" s="303"/>
      <c r="P70" s="259"/>
      <c r="R70" s="350"/>
      <c r="S70" s="350"/>
      <c r="T70" s="350"/>
      <c r="U70" s="350"/>
      <c r="V70" s="350"/>
    </row>
    <row r="71" spans="13:22" s="147" customFormat="1" ht="22.15" customHeight="1" x14ac:dyDescent="0.25">
      <c r="M71" s="306"/>
      <c r="N71" s="303"/>
      <c r="P71" s="259"/>
      <c r="R71" s="350"/>
      <c r="S71" s="350"/>
      <c r="T71" s="350"/>
      <c r="U71" s="350"/>
      <c r="V71" s="350"/>
    </row>
    <row r="72" spans="13:22" s="147" customFormat="1" ht="22.15" customHeight="1" x14ac:dyDescent="0.25">
      <c r="M72" s="306"/>
      <c r="N72" s="303"/>
      <c r="P72" s="259"/>
      <c r="R72" s="350"/>
      <c r="S72" s="350"/>
      <c r="T72" s="350"/>
      <c r="U72" s="350"/>
      <c r="V72" s="350"/>
    </row>
    <row r="73" spans="13:22" s="147" customFormat="1" ht="22.15" customHeight="1" x14ac:dyDescent="0.25">
      <c r="M73" s="306"/>
      <c r="N73" s="303"/>
      <c r="P73" s="259"/>
      <c r="R73" s="350"/>
      <c r="S73" s="350"/>
      <c r="T73" s="350"/>
      <c r="U73" s="350"/>
      <c r="V73" s="350"/>
    </row>
    <row r="74" spans="13:22" s="147" customFormat="1" ht="22.15" customHeight="1" x14ac:dyDescent="0.25">
      <c r="M74" s="306"/>
      <c r="N74" s="303"/>
      <c r="P74" s="259"/>
      <c r="R74" s="350"/>
      <c r="S74" s="350"/>
      <c r="T74" s="350"/>
      <c r="U74" s="350"/>
      <c r="V74" s="350"/>
    </row>
    <row r="75" spans="13:22" s="147" customFormat="1" ht="22.15" customHeight="1" x14ac:dyDescent="0.25">
      <c r="M75" s="306"/>
      <c r="N75" s="303"/>
      <c r="P75" s="259"/>
      <c r="R75" s="350"/>
      <c r="S75" s="350"/>
      <c r="T75" s="350"/>
      <c r="U75" s="350"/>
      <c r="V75" s="350"/>
    </row>
    <row r="76" spans="13:22" s="147" customFormat="1" ht="22.15" customHeight="1" x14ac:dyDescent="0.25">
      <c r="M76" s="306"/>
      <c r="N76" s="303"/>
      <c r="P76" s="259"/>
      <c r="R76" s="350"/>
      <c r="S76" s="350"/>
      <c r="T76" s="350"/>
      <c r="U76" s="350"/>
      <c r="V76" s="350"/>
    </row>
    <row r="77" spans="13:22" s="147" customFormat="1" ht="22.15" customHeight="1" x14ac:dyDescent="0.25">
      <c r="M77" s="306"/>
      <c r="N77" s="303"/>
      <c r="P77" s="259"/>
      <c r="R77" s="350"/>
      <c r="S77" s="350"/>
      <c r="T77" s="350"/>
      <c r="U77" s="350"/>
      <c r="V77" s="350"/>
    </row>
    <row r="78" spans="13:22" s="147" customFormat="1" ht="22.15" customHeight="1" x14ac:dyDescent="0.25">
      <c r="M78" s="306"/>
      <c r="N78" s="303"/>
      <c r="P78" s="259"/>
      <c r="R78" s="350"/>
      <c r="S78" s="350"/>
      <c r="T78" s="350"/>
      <c r="U78" s="350"/>
      <c r="V78" s="350"/>
    </row>
    <row r="79" spans="13:22" s="147" customFormat="1" ht="22.15" customHeight="1" x14ac:dyDescent="0.25">
      <c r="M79" s="306"/>
      <c r="N79" s="303"/>
      <c r="P79" s="259"/>
      <c r="R79" s="350"/>
      <c r="S79" s="350"/>
      <c r="T79" s="350"/>
      <c r="U79" s="350"/>
      <c r="V79" s="350"/>
    </row>
    <row r="80" spans="13:22" s="147" customFormat="1" ht="22.15" customHeight="1" x14ac:dyDescent="0.25">
      <c r="M80" s="306"/>
      <c r="N80" s="303"/>
      <c r="P80" s="259"/>
      <c r="R80" s="350"/>
      <c r="S80" s="350"/>
      <c r="T80" s="350"/>
      <c r="U80" s="350"/>
      <c r="V80" s="350"/>
    </row>
    <row r="81" spans="13:22" s="147" customFormat="1" ht="22.15" customHeight="1" x14ac:dyDescent="0.25">
      <c r="M81" s="306"/>
      <c r="N81" s="303"/>
      <c r="P81" s="259"/>
      <c r="R81" s="350"/>
      <c r="S81" s="350"/>
      <c r="T81" s="350"/>
      <c r="U81" s="350"/>
      <c r="V81" s="350"/>
    </row>
    <row r="82" spans="13:22" s="147" customFormat="1" ht="22.15" customHeight="1" x14ac:dyDescent="0.25">
      <c r="M82" s="306"/>
      <c r="N82" s="303"/>
      <c r="P82" s="259"/>
      <c r="R82" s="350"/>
      <c r="S82" s="350"/>
      <c r="T82" s="350"/>
      <c r="U82" s="350"/>
      <c r="V82" s="350"/>
    </row>
    <row r="83" spans="13:22" s="147" customFormat="1" ht="22.15" customHeight="1" x14ac:dyDescent="0.25">
      <c r="M83" s="306"/>
      <c r="N83" s="303"/>
      <c r="P83" s="259"/>
      <c r="R83" s="350"/>
      <c r="S83" s="350"/>
      <c r="T83" s="350"/>
      <c r="U83" s="350"/>
      <c r="V83" s="350"/>
    </row>
    <row r="84" spans="13:22" s="147" customFormat="1" ht="22.15" customHeight="1" x14ac:dyDescent="0.25">
      <c r="M84" s="306"/>
      <c r="N84" s="303"/>
      <c r="P84" s="259"/>
      <c r="R84" s="350"/>
      <c r="S84" s="350"/>
      <c r="T84" s="350"/>
      <c r="U84" s="350"/>
      <c r="V84" s="350"/>
    </row>
    <row r="85" spans="13:22" s="147" customFormat="1" ht="22.15" customHeight="1" x14ac:dyDescent="0.25">
      <c r="M85" s="306"/>
      <c r="N85" s="303"/>
      <c r="P85" s="259"/>
      <c r="R85" s="350"/>
      <c r="S85" s="350"/>
      <c r="T85" s="350"/>
      <c r="U85" s="350"/>
      <c r="V85" s="350"/>
    </row>
    <row r="86" spans="13:22" s="147" customFormat="1" ht="22.15" customHeight="1" x14ac:dyDescent="0.25">
      <c r="M86" s="306"/>
      <c r="N86" s="303"/>
      <c r="P86" s="259"/>
      <c r="R86" s="350"/>
      <c r="S86" s="350"/>
      <c r="T86" s="350"/>
      <c r="U86" s="350"/>
      <c r="V86" s="350"/>
    </row>
    <row r="87" spans="13:22" s="147" customFormat="1" ht="22.15" customHeight="1" x14ac:dyDescent="0.25">
      <c r="M87" s="306"/>
      <c r="N87" s="303"/>
      <c r="P87" s="259"/>
      <c r="R87" s="350"/>
      <c r="S87" s="350"/>
      <c r="T87" s="350"/>
      <c r="U87" s="350"/>
      <c r="V87" s="350"/>
    </row>
    <row r="88" spans="13:22" s="147" customFormat="1" ht="22.15" customHeight="1" x14ac:dyDescent="0.25">
      <c r="M88" s="306"/>
      <c r="N88" s="303"/>
      <c r="P88" s="259"/>
      <c r="R88" s="350"/>
      <c r="S88" s="350"/>
      <c r="T88" s="350"/>
      <c r="U88" s="350"/>
      <c r="V88" s="350"/>
    </row>
    <row r="89" spans="13:22" s="147" customFormat="1" ht="22.15" customHeight="1" x14ac:dyDescent="0.25">
      <c r="M89" s="306"/>
      <c r="N89" s="303"/>
      <c r="P89" s="259"/>
      <c r="R89" s="350"/>
      <c r="S89" s="350"/>
      <c r="T89" s="350"/>
      <c r="U89" s="350"/>
      <c r="V89" s="350"/>
    </row>
    <row r="90" spans="13:22" s="147" customFormat="1" ht="22.15" customHeight="1" x14ac:dyDescent="0.25">
      <c r="M90" s="306"/>
      <c r="N90" s="303"/>
      <c r="P90" s="259"/>
      <c r="R90" s="350"/>
      <c r="S90" s="350"/>
      <c r="T90" s="350"/>
      <c r="U90" s="350"/>
      <c r="V90" s="350"/>
    </row>
    <row r="91" spans="13:22" s="147" customFormat="1" ht="22.15" customHeight="1" x14ac:dyDescent="0.25">
      <c r="M91" s="306"/>
      <c r="N91" s="303"/>
      <c r="P91" s="259"/>
      <c r="R91" s="350"/>
      <c r="S91" s="350"/>
      <c r="T91" s="350"/>
      <c r="U91" s="350"/>
      <c r="V91" s="350"/>
    </row>
    <row r="92" spans="13:22" s="147" customFormat="1" ht="22.15" customHeight="1" x14ac:dyDescent="0.25">
      <c r="M92" s="306"/>
      <c r="N92" s="303"/>
      <c r="P92" s="259"/>
      <c r="R92" s="350"/>
      <c r="S92" s="350"/>
      <c r="T92" s="350"/>
      <c r="U92" s="350"/>
      <c r="V92" s="350"/>
    </row>
    <row r="93" spans="13:22" s="147" customFormat="1" ht="22.15" customHeight="1" x14ac:dyDescent="0.25">
      <c r="M93" s="306"/>
      <c r="N93" s="303"/>
      <c r="P93" s="259"/>
      <c r="R93" s="350"/>
      <c r="S93" s="350"/>
      <c r="T93" s="350"/>
      <c r="U93" s="350"/>
      <c r="V93" s="350"/>
    </row>
    <row r="94" spans="13:22" s="147" customFormat="1" ht="22.15" customHeight="1" x14ac:dyDescent="0.25">
      <c r="M94" s="306"/>
      <c r="N94" s="303"/>
      <c r="P94" s="259"/>
      <c r="R94" s="350"/>
      <c r="S94" s="350"/>
      <c r="T94" s="350"/>
      <c r="U94" s="350"/>
      <c r="V94" s="350"/>
    </row>
    <row r="95" spans="13:22" s="147" customFormat="1" ht="22.15" customHeight="1" x14ac:dyDescent="0.25">
      <c r="M95" s="306"/>
      <c r="N95" s="303"/>
      <c r="P95" s="259"/>
      <c r="R95" s="350"/>
      <c r="S95" s="350"/>
      <c r="T95" s="350"/>
      <c r="U95" s="350"/>
      <c r="V95" s="350"/>
    </row>
    <row r="96" spans="13:22" s="147" customFormat="1" ht="22.15" customHeight="1" x14ac:dyDescent="0.25">
      <c r="M96" s="306"/>
      <c r="N96" s="303"/>
      <c r="P96" s="259"/>
      <c r="R96" s="350"/>
      <c r="S96" s="350"/>
      <c r="T96" s="350"/>
      <c r="U96" s="350"/>
      <c r="V96" s="350"/>
    </row>
    <row r="97" spans="13:22" s="147" customFormat="1" ht="22.15" customHeight="1" x14ac:dyDescent="0.25">
      <c r="M97" s="306"/>
      <c r="N97" s="303"/>
      <c r="P97" s="259"/>
      <c r="R97" s="350"/>
      <c r="S97" s="350"/>
      <c r="T97" s="350"/>
      <c r="U97" s="350"/>
      <c r="V97" s="350"/>
    </row>
    <row r="98" spans="13:22" s="147" customFormat="1" ht="22.15" customHeight="1" x14ac:dyDescent="0.25">
      <c r="M98" s="306"/>
      <c r="N98" s="303"/>
      <c r="P98" s="259"/>
      <c r="R98" s="350"/>
      <c r="S98" s="350"/>
      <c r="T98" s="350"/>
      <c r="U98" s="350"/>
      <c r="V98" s="350"/>
    </row>
    <row r="99" spans="13:22" s="147" customFormat="1" ht="22.15" customHeight="1" x14ac:dyDescent="0.25">
      <c r="M99" s="306"/>
      <c r="N99" s="303"/>
      <c r="P99" s="259"/>
      <c r="R99" s="350"/>
      <c r="S99" s="350"/>
      <c r="T99" s="350"/>
      <c r="U99" s="350"/>
      <c r="V99" s="350"/>
    </row>
    <row r="100" spans="13:22" s="147" customFormat="1" ht="22.15" customHeight="1" x14ac:dyDescent="0.25">
      <c r="M100" s="306"/>
      <c r="N100" s="303"/>
      <c r="P100" s="259"/>
      <c r="R100" s="350"/>
      <c r="S100" s="350"/>
      <c r="T100" s="350"/>
      <c r="U100" s="350"/>
      <c r="V100" s="350"/>
    </row>
    <row r="101" spans="13:22" s="147" customFormat="1" ht="22.15" customHeight="1" x14ac:dyDescent="0.25">
      <c r="M101" s="306"/>
      <c r="N101" s="303"/>
      <c r="P101" s="259"/>
      <c r="R101" s="350"/>
      <c r="S101" s="350"/>
      <c r="T101" s="350"/>
      <c r="U101" s="350"/>
      <c r="V101" s="350"/>
    </row>
    <row r="102" spans="13:22" s="147" customFormat="1" ht="22.15" customHeight="1" x14ac:dyDescent="0.25">
      <c r="M102" s="306"/>
      <c r="N102" s="303"/>
      <c r="P102" s="259"/>
      <c r="R102" s="350"/>
      <c r="S102" s="350"/>
      <c r="T102" s="350"/>
      <c r="U102" s="350"/>
      <c r="V102" s="350"/>
    </row>
    <row r="103" spans="13:22" s="147" customFormat="1" ht="22.15" customHeight="1" x14ac:dyDescent="0.25">
      <c r="M103" s="306"/>
      <c r="N103" s="303"/>
      <c r="P103" s="259"/>
      <c r="R103" s="350"/>
      <c r="S103" s="350"/>
      <c r="T103" s="350"/>
      <c r="U103" s="350"/>
      <c r="V103" s="350"/>
    </row>
    <row r="104" spans="13:22" s="147" customFormat="1" ht="22.15" customHeight="1" x14ac:dyDescent="0.25">
      <c r="M104" s="306"/>
      <c r="N104" s="303"/>
      <c r="P104" s="259"/>
      <c r="R104" s="350"/>
      <c r="S104" s="350"/>
      <c r="T104" s="350"/>
      <c r="U104" s="350"/>
      <c r="V104" s="350"/>
    </row>
    <row r="105" spans="13:22" s="147" customFormat="1" ht="22.15" customHeight="1" x14ac:dyDescent="0.25">
      <c r="M105" s="306"/>
      <c r="N105" s="303"/>
      <c r="P105" s="259"/>
      <c r="R105" s="350"/>
      <c r="S105" s="350"/>
      <c r="T105" s="350"/>
      <c r="U105" s="350"/>
      <c r="V105" s="350"/>
    </row>
    <row r="106" spans="13:22" s="147" customFormat="1" ht="22.15" customHeight="1" x14ac:dyDescent="0.25">
      <c r="M106" s="306"/>
      <c r="N106" s="303"/>
      <c r="P106" s="259"/>
      <c r="R106" s="350"/>
      <c r="S106" s="350"/>
      <c r="T106" s="350"/>
      <c r="U106" s="350"/>
      <c r="V106" s="350"/>
    </row>
    <row r="107" spans="13:22" s="147" customFormat="1" ht="22.15" customHeight="1" x14ac:dyDescent="0.25">
      <c r="M107" s="306"/>
      <c r="N107" s="303"/>
      <c r="P107" s="259"/>
      <c r="R107" s="350"/>
      <c r="S107" s="350"/>
      <c r="T107" s="350"/>
      <c r="U107" s="350"/>
      <c r="V107" s="350"/>
    </row>
    <row r="108" spans="13:22" s="147" customFormat="1" ht="22.15" customHeight="1" x14ac:dyDescent="0.25">
      <c r="M108" s="306"/>
      <c r="N108" s="303"/>
      <c r="P108" s="259"/>
      <c r="R108" s="350"/>
      <c r="S108" s="350"/>
      <c r="T108" s="350"/>
      <c r="U108" s="350"/>
      <c r="V108" s="350"/>
    </row>
    <row r="109" spans="13:22" s="147" customFormat="1" ht="22.15" customHeight="1" x14ac:dyDescent="0.25">
      <c r="M109" s="306"/>
      <c r="N109" s="303"/>
      <c r="P109" s="259"/>
      <c r="R109" s="350"/>
      <c r="S109" s="350"/>
      <c r="T109" s="350"/>
      <c r="U109" s="350"/>
      <c r="V109" s="350"/>
    </row>
    <row r="110" spans="13:22" s="147" customFormat="1" ht="22.15" customHeight="1" x14ac:dyDescent="0.25">
      <c r="M110" s="306"/>
      <c r="N110" s="303"/>
      <c r="P110" s="259"/>
      <c r="R110" s="350"/>
      <c r="S110" s="350"/>
      <c r="T110" s="350"/>
      <c r="U110" s="350"/>
      <c r="V110" s="350"/>
    </row>
    <row r="111" spans="13:22" s="147" customFormat="1" ht="22.15" customHeight="1" x14ac:dyDescent="0.25">
      <c r="M111" s="306"/>
      <c r="N111" s="303"/>
      <c r="P111" s="259"/>
      <c r="R111" s="350"/>
      <c r="S111" s="350"/>
      <c r="T111" s="350"/>
      <c r="U111" s="350"/>
      <c r="V111" s="350"/>
    </row>
    <row r="112" spans="13:22" s="147" customFormat="1" ht="22.15" customHeight="1" x14ac:dyDescent="0.25">
      <c r="M112" s="306"/>
      <c r="N112" s="303"/>
      <c r="P112" s="259"/>
      <c r="R112" s="350"/>
      <c r="S112" s="350"/>
      <c r="T112" s="350"/>
      <c r="U112" s="350"/>
      <c r="V112" s="350"/>
    </row>
    <row r="113" spans="13:22" s="147" customFormat="1" ht="22.15" customHeight="1" x14ac:dyDescent="0.25">
      <c r="M113" s="306"/>
      <c r="N113" s="303"/>
      <c r="P113" s="259"/>
      <c r="R113" s="350"/>
      <c r="S113" s="350"/>
      <c r="T113" s="350"/>
      <c r="U113" s="350"/>
      <c r="V113" s="350"/>
    </row>
    <row r="114" spans="13:22" s="147" customFormat="1" ht="22.15" customHeight="1" x14ac:dyDescent="0.25">
      <c r="M114" s="306"/>
      <c r="N114" s="303"/>
      <c r="P114" s="259"/>
      <c r="R114" s="350"/>
      <c r="S114" s="350"/>
      <c r="T114" s="350"/>
      <c r="U114" s="350"/>
      <c r="V114" s="350"/>
    </row>
    <row r="115" spans="13:22" s="147" customFormat="1" ht="22.15" customHeight="1" x14ac:dyDescent="0.25">
      <c r="M115" s="306"/>
      <c r="N115" s="303"/>
      <c r="P115" s="259"/>
      <c r="R115" s="350"/>
      <c r="S115" s="350"/>
      <c r="T115" s="350"/>
      <c r="U115" s="350"/>
      <c r="V115" s="350"/>
    </row>
    <row r="116" spans="13:22" s="147" customFormat="1" ht="22.15" customHeight="1" x14ac:dyDescent="0.25">
      <c r="M116" s="306"/>
      <c r="N116" s="303"/>
      <c r="P116" s="259"/>
      <c r="R116" s="350"/>
      <c r="S116" s="350"/>
      <c r="T116" s="350"/>
      <c r="U116" s="350"/>
      <c r="V116" s="350"/>
    </row>
    <row r="117" spans="13:22" s="147" customFormat="1" ht="22.15" customHeight="1" x14ac:dyDescent="0.25">
      <c r="M117" s="306"/>
      <c r="N117" s="303"/>
      <c r="P117" s="259"/>
      <c r="R117" s="350"/>
      <c r="S117" s="350"/>
      <c r="T117" s="350"/>
      <c r="U117" s="350"/>
      <c r="V117" s="350"/>
    </row>
    <row r="118" spans="13:22" s="147" customFormat="1" ht="22.15" customHeight="1" x14ac:dyDescent="0.25">
      <c r="M118" s="306"/>
      <c r="N118" s="303"/>
      <c r="P118" s="259"/>
      <c r="R118" s="350"/>
      <c r="S118" s="350"/>
      <c r="T118" s="350"/>
      <c r="U118" s="350"/>
      <c r="V118" s="350"/>
    </row>
    <row r="119" spans="13:22" s="147" customFormat="1" ht="22.15" customHeight="1" x14ac:dyDescent="0.25">
      <c r="M119" s="306"/>
      <c r="N119" s="303"/>
      <c r="P119" s="259"/>
      <c r="R119" s="350"/>
      <c r="S119" s="350"/>
      <c r="T119" s="350"/>
      <c r="U119" s="350"/>
      <c r="V119" s="350"/>
    </row>
    <row r="120" spans="13:22" s="147" customFormat="1" x14ac:dyDescent="0.25">
      <c r="M120" s="306"/>
      <c r="N120" s="303"/>
      <c r="P120" s="259"/>
      <c r="R120" s="350"/>
      <c r="S120" s="350"/>
      <c r="T120" s="350"/>
      <c r="U120" s="350"/>
      <c r="V120" s="350"/>
    </row>
    <row r="121" spans="13:22" s="147" customFormat="1" x14ac:dyDescent="0.25">
      <c r="M121" s="306"/>
      <c r="N121" s="303"/>
      <c r="P121" s="259"/>
      <c r="R121" s="350"/>
      <c r="S121" s="350"/>
      <c r="T121" s="350"/>
      <c r="U121" s="350"/>
      <c r="V121" s="350"/>
    </row>
    <row r="122" spans="13:22" s="147" customFormat="1" x14ac:dyDescent="0.25">
      <c r="M122" s="306"/>
      <c r="N122" s="303"/>
      <c r="P122" s="259"/>
      <c r="R122" s="350"/>
      <c r="S122" s="350"/>
      <c r="T122" s="350"/>
      <c r="U122" s="350"/>
      <c r="V122" s="350"/>
    </row>
    <row r="123" spans="13:22" s="147" customFormat="1" x14ac:dyDescent="0.25">
      <c r="M123" s="306"/>
      <c r="N123" s="303"/>
      <c r="P123" s="259"/>
      <c r="R123" s="350"/>
      <c r="S123" s="350"/>
      <c r="T123" s="350"/>
      <c r="U123" s="350"/>
      <c r="V123" s="350"/>
    </row>
    <row r="124" spans="13:22" s="147" customFormat="1" x14ac:dyDescent="0.25">
      <c r="M124" s="306"/>
      <c r="N124" s="303"/>
      <c r="P124" s="259"/>
      <c r="R124" s="350"/>
      <c r="S124" s="350"/>
      <c r="T124" s="350"/>
      <c r="U124" s="350"/>
      <c r="V124" s="350"/>
    </row>
    <row r="125" spans="13:22" s="147" customFormat="1" x14ac:dyDescent="0.25">
      <c r="M125" s="306"/>
      <c r="N125" s="303"/>
      <c r="P125" s="259"/>
      <c r="R125" s="350"/>
      <c r="S125" s="350"/>
      <c r="T125" s="350"/>
      <c r="U125" s="350"/>
      <c r="V125" s="350"/>
    </row>
    <row r="126" spans="13:22" s="147" customFormat="1" x14ac:dyDescent="0.25">
      <c r="M126" s="306"/>
      <c r="N126" s="303"/>
      <c r="P126" s="259"/>
      <c r="R126" s="350"/>
      <c r="S126" s="350"/>
      <c r="T126" s="350"/>
      <c r="U126" s="350"/>
      <c r="V126" s="350"/>
    </row>
    <row r="127" spans="13:22" s="147" customFormat="1" x14ac:dyDescent="0.25">
      <c r="M127" s="306"/>
      <c r="N127" s="303"/>
      <c r="P127" s="259"/>
      <c r="R127" s="350"/>
      <c r="S127" s="350"/>
      <c r="T127" s="350"/>
      <c r="U127" s="350"/>
      <c r="V127" s="350"/>
    </row>
    <row r="128" spans="13:22" s="147" customFormat="1" x14ac:dyDescent="0.25">
      <c r="M128" s="306"/>
      <c r="N128" s="303"/>
      <c r="P128" s="259"/>
      <c r="R128" s="350"/>
      <c r="S128" s="350"/>
      <c r="T128" s="350"/>
      <c r="U128" s="350"/>
      <c r="V128" s="350"/>
    </row>
    <row r="129" spans="13:22" s="147" customFormat="1" x14ac:dyDescent="0.25">
      <c r="M129" s="306"/>
      <c r="N129" s="303"/>
      <c r="P129" s="259"/>
      <c r="R129" s="350"/>
      <c r="S129" s="350"/>
      <c r="T129" s="350"/>
      <c r="U129" s="350"/>
      <c r="V129" s="350"/>
    </row>
    <row r="130" spans="13:22" s="147" customFormat="1" x14ac:dyDescent="0.25">
      <c r="M130" s="306"/>
      <c r="N130" s="303"/>
      <c r="P130" s="259"/>
      <c r="R130" s="350"/>
      <c r="S130" s="350"/>
      <c r="T130" s="350"/>
      <c r="U130" s="350"/>
      <c r="V130" s="350"/>
    </row>
    <row r="131" spans="13:22" s="147" customFormat="1" x14ac:dyDescent="0.25">
      <c r="M131" s="306"/>
      <c r="N131" s="303"/>
      <c r="P131" s="259"/>
      <c r="R131" s="350"/>
      <c r="S131" s="350"/>
      <c r="T131" s="350"/>
      <c r="U131" s="350"/>
      <c r="V131" s="350"/>
    </row>
    <row r="132" spans="13:22" s="147" customFormat="1" x14ac:dyDescent="0.25">
      <c r="M132" s="306"/>
      <c r="N132" s="303"/>
      <c r="P132" s="259"/>
      <c r="R132" s="350"/>
      <c r="S132" s="350"/>
      <c r="T132" s="350"/>
      <c r="U132" s="350"/>
      <c r="V132" s="350"/>
    </row>
    <row r="133" spans="13:22" s="147" customFormat="1" x14ac:dyDescent="0.25">
      <c r="M133" s="306"/>
      <c r="N133" s="303"/>
      <c r="P133" s="259"/>
      <c r="R133" s="350"/>
      <c r="S133" s="350"/>
      <c r="T133" s="350"/>
      <c r="U133" s="350"/>
      <c r="V133" s="350"/>
    </row>
    <row r="134" spans="13:22" s="147" customFormat="1" x14ac:dyDescent="0.25">
      <c r="M134" s="306"/>
      <c r="N134" s="303"/>
      <c r="P134" s="259"/>
      <c r="R134" s="350"/>
      <c r="S134" s="350"/>
      <c r="T134" s="350"/>
      <c r="U134" s="350"/>
      <c r="V134" s="350"/>
    </row>
    <row r="135" spans="13:22" s="147" customFormat="1" x14ac:dyDescent="0.25">
      <c r="M135" s="306"/>
      <c r="N135" s="303"/>
      <c r="P135" s="259"/>
      <c r="R135" s="350"/>
      <c r="S135" s="350"/>
      <c r="T135" s="350"/>
      <c r="U135" s="350"/>
      <c r="V135" s="350"/>
    </row>
    <row r="136" spans="13:22" s="147" customFormat="1" x14ac:dyDescent="0.25">
      <c r="M136" s="306"/>
      <c r="N136" s="303"/>
      <c r="P136" s="259"/>
      <c r="R136" s="350"/>
      <c r="S136" s="350"/>
      <c r="T136" s="350"/>
      <c r="U136" s="350"/>
      <c r="V136" s="350"/>
    </row>
    <row r="137" spans="13:22" s="147" customFormat="1" x14ac:dyDescent="0.25">
      <c r="M137" s="306"/>
      <c r="N137" s="303"/>
      <c r="P137" s="259"/>
      <c r="R137" s="350"/>
      <c r="S137" s="350"/>
      <c r="T137" s="350"/>
      <c r="U137" s="350"/>
      <c r="V137" s="350"/>
    </row>
    <row r="138" spans="13:22" s="147" customFormat="1" x14ac:dyDescent="0.25">
      <c r="M138" s="306"/>
      <c r="N138" s="303"/>
      <c r="P138" s="259"/>
      <c r="R138" s="350"/>
      <c r="S138" s="350"/>
      <c r="T138" s="350"/>
      <c r="U138" s="350"/>
      <c r="V138" s="350"/>
    </row>
    <row r="139" spans="13:22" s="147" customFormat="1" x14ac:dyDescent="0.25">
      <c r="M139" s="306"/>
      <c r="N139" s="303"/>
      <c r="P139" s="259"/>
      <c r="R139" s="350"/>
      <c r="S139" s="350"/>
      <c r="T139" s="350"/>
      <c r="U139" s="350"/>
      <c r="V139" s="350"/>
    </row>
    <row r="140" spans="13:22" s="147" customFormat="1" x14ac:dyDescent="0.25">
      <c r="M140" s="306"/>
      <c r="N140" s="303"/>
      <c r="P140" s="259"/>
      <c r="R140" s="350"/>
      <c r="S140" s="350"/>
      <c r="T140" s="350"/>
      <c r="U140" s="350"/>
      <c r="V140" s="350"/>
    </row>
    <row r="141" spans="13:22" s="147" customFormat="1" x14ac:dyDescent="0.25">
      <c r="M141" s="306"/>
      <c r="N141" s="303"/>
      <c r="P141" s="259"/>
      <c r="R141" s="350"/>
      <c r="S141" s="350"/>
      <c r="T141" s="350"/>
      <c r="U141" s="350"/>
      <c r="V141" s="350"/>
    </row>
    <row r="142" spans="13:22" s="147" customFormat="1" x14ac:dyDescent="0.25">
      <c r="M142" s="306"/>
      <c r="N142" s="303"/>
      <c r="P142" s="259"/>
      <c r="R142" s="350"/>
      <c r="S142" s="350"/>
      <c r="T142" s="350"/>
      <c r="U142" s="350"/>
      <c r="V142" s="350"/>
    </row>
    <row r="143" spans="13:22" s="147" customFormat="1" x14ac:dyDescent="0.25">
      <c r="M143" s="306"/>
      <c r="N143" s="303"/>
      <c r="P143" s="259"/>
      <c r="R143" s="350"/>
      <c r="S143" s="350"/>
      <c r="T143" s="350"/>
      <c r="U143" s="350"/>
      <c r="V143" s="350"/>
    </row>
    <row r="144" spans="13:22" s="147" customFormat="1" x14ac:dyDescent="0.25">
      <c r="M144" s="306"/>
      <c r="N144" s="303"/>
      <c r="P144" s="259"/>
      <c r="R144" s="350"/>
      <c r="S144" s="350"/>
      <c r="T144" s="350"/>
      <c r="U144" s="350"/>
      <c r="V144" s="350"/>
    </row>
    <row r="145" spans="13:22" s="147" customFormat="1" x14ac:dyDescent="0.25">
      <c r="M145" s="306"/>
      <c r="N145" s="303"/>
      <c r="P145" s="259"/>
      <c r="R145" s="350"/>
      <c r="S145" s="350"/>
      <c r="T145" s="350"/>
      <c r="U145" s="350"/>
      <c r="V145" s="350"/>
    </row>
    <row r="146" spans="13:22" s="147" customFormat="1" x14ac:dyDescent="0.25">
      <c r="M146" s="306"/>
      <c r="N146" s="303"/>
      <c r="P146" s="259"/>
      <c r="R146" s="350"/>
      <c r="S146" s="350"/>
      <c r="T146" s="350"/>
      <c r="U146" s="350"/>
      <c r="V146" s="350"/>
    </row>
    <row r="147" spans="13:22" s="147" customFormat="1" x14ac:dyDescent="0.25">
      <c r="M147" s="306"/>
      <c r="N147" s="303"/>
      <c r="P147" s="259"/>
      <c r="R147" s="350"/>
      <c r="S147" s="350"/>
      <c r="T147" s="350"/>
      <c r="U147" s="350"/>
      <c r="V147" s="350"/>
    </row>
    <row r="148" spans="13:22" s="147" customFormat="1" x14ac:dyDescent="0.25">
      <c r="M148" s="306"/>
      <c r="N148" s="303"/>
      <c r="P148" s="259"/>
      <c r="R148" s="350"/>
      <c r="S148" s="350"/>
      <c r="T148" s="350"/>
      <c r="U148" s="350"/>
      <c r="V148" s="350"/>
    </row>
    <row r="149" spans="13:22" s="147" customFormat="1" x14ac:dyDescent="0.25">
      <c r="M149" s="306"/>
      <c r="N149" s="303"/>
      <c r="P149" s="259"/>
      <c r="R149" s="350"/>
      <c r="S149" s="350"/>
      <c r="T149" s="350"/>
      <c r="U149" s="350"/>
      <c r="V149" s="350"/>
    </row>
    <row r="150" spans="13:22" s="147" customFormat="1" x14ac:dyDescent="0.25">
      <c r="M150" s="306"/>
      <c r="N150" s="303"/>
      <c r="P150" s="259"/>
      <c r="R150" s="350"/>
      <c r="S150" s="350"/>
      <c r="T150" s="350"/>
      <c r="U150" s="350"/>
      <c r="V150" s="350"/>
    </row>
    <row r="151" spans="13:22" s="147" customFormat="1" x14ac:dyDescent="0.25">
      <c r="M151" s="306"/>
      <c r="N151" s="303"/>
      <c r="P151" s="259"/>
      <c r="R151" s="350"/>
      <c r="S151" s="350"/>
      <c r="T151" s="350"/>
      <c r="U151" s="350"/>
      <c r="V151" s="350"/>
    </row>
    <row r="152" spans="13:22" s="147" customFormat="1" x14ac:dyDescent="0.25">
      <c r="M152" s="306"/>
      <c r="N152" s="303"/>
      <c r="P152" s="259"/>
      <c r="R152" s="350"/>
      <c r="S152" s="350"/>
      <c r="T152" s="350"/>
      <c r="U152" s="350"/>
      <c r="V152" s="350"/>
    </row>
    <row r="153" spans="13:22" s="147" customFormat="1" x14ac:dyDescent="0.25">
      <c r="M153" s="306"/>
      <c r="N153" s="303"/>
      <c r="P153" s="259"/>
      <c r="R153" s="350"/>
      <c r="S153" s="350"/>
      <c r="T153" s="350"/>
      <c r="U153" s="350"/>
      <c r="V153" s="350"/>
    </row>
    <row r="154" spans="13:22" s="147" customFormat="1" x14ac:dyDescent="0.25">
      <c r="M154" s="306"/>
      <c r="N154" s="303"/>
      <c r="P154" s="259"/>
      <c r="R154" s="350"/>
      <c r="S154" s="350"/>
      <c r="T154" s="350"/>
      <c r="U154" s="350"/>
      <c r="V154" s="350"/>
    </row>
    <row r="155" spans="13:22" s="147" customFormat="1" x14ac:dyDescent="0.25">
      <c r="M155" s="306"/>
      <c r="N155" s="303"/>
      <c r="P155" s="259"/>
      <c r="R155" s="350"/>
      <c r="S155" s="350"/>
      <c r="T155" s="350"/>
      <c r="U155" s="350"/>
      <c r="V155" s="350"/>
    </row>
    <row r="156" spans="13:22" s="147" customFormat="1" x14ac:dyDescent="0.25">
      <c r="M156" s="306"/>
      <c r="N156" s="303"/>
      <c r="P156" s="259"/>
      <c r="R156" s="350"/>
      <c r="S156" s="350"/>
      <c r="T156" s="350"/>
      <c r="U156" s="350"/>
      <c r="V156" s="350"/>
    </row>
    <row r="157" spans="13:22" s="147" customFormat="1" x14ac:dyDescent="0.25">
      <c r="M157" s="306"/>
      <c r="N157" s="303"/>
      <c r="P157" s="259"/>
      <c r="R157" s="350"/>
      <c r="S157" s="350"/>
      <c r="T157" s="350"/>
      <c r="U157" s="350"/>
      <c r="V157" s="350"/>
    </row>
    <row r="158" spans="13:22" s="147" customFormat="1" x14ac:dyDescent="0.25">
      <c r="M158" s="306"/>
      <c r="N158" s="303"/>
      <c r="P158" s="259"/>
      <c r="R158" s="350"/>
      <c r="S158" s="350"/>
      <c r="T158" s="350"/>
      <c r="U158" s="350"/>
      <c r="V158" s="350"/>
    </row>
    <row r="159" spans="13:22" s="147" customFormat="1" x14ac:dyDescent="0.25">
      <c r="M159" s="306"/>
      <c r="N159" s="303"/>
      <c r="P159" s="259"/>
      <c r="R159" s="350"/>
      <c r="S159" s="350"/>
      <c r="T159" s="350"/>
      <c r="U159" s="350"/>
      <c r="V159" s="350"/>
    </row>
    <row r="160" spans="13:22" s="147" customFormat="1" x14ac:dyDescent="0.25">
      <c r="M160" s="306"/>
      <c r="N160" s="303"/>
      <c r="P160" s="259"/>
      <c r="R160" s="350"/>
      <c r="S160" s="350"/>
      <c r="T160" s="350"/>
      <c r="U160" s="350"/>
      <c r="V160" s="350"/>
    </row>
    <row r="161" spans="13:22" s="147" customFormat="1" x14ac:dyDescent="0.25">
      <c r="M161" s="306"/>
      <c r="N161" s="303"/>
      <c r="P161" s="259"/>
      <c r="R161" s="350"/>
      <c r="S161" s="350"/>
      <c r="T161" s="350"/>
      <c r="U161" s="350"/>
      <c r="V161" s="350"/>
    </row>
    <row r="162" spans="13:22" s="147" customFormat="1" x14ac:dyDescent="0.25">
      <c r="M162" s="306"/>
      <c r="N162" s="303"/>
      <c r="P162" s="259"/>
      <c r="R162" s="350"/>
      <c r="S162" s="350"/>
      <c r="T162" s="350"/>
      <c r="U162" s="350"/>
      <c r="V162" s="350"/>
    </row>
    <row r="163" spans="13:22" s="147" customFormat="1" x14ac:dyDescent="0.25">
      <c r="M163" s="306"/>
      <c r="N163" s="303"/>
      <c r="P163" s="259"/>
      <c r="R163" s="350"/>
      <c r="S163" s="350"/>
      <c r="T163" s="350"/>
      <c r="U163" s="350"/>
      <c r="V163" s="350"/>
    </row>
    <row r="164" spans="13:22" s="147" customFormat="1" x14ac:dyDescent="0.25">
      <c r="M164" s="306"/>
      <c r="N164" s="303"/>
      <c r="P164" s="259"/>
      <c r="R164" s="350"/>
      <c r="S164" s="350"/>
      <c r="T164" s="350"/>
      <c r="U164" s="350"/>
      <c r="V164" s="350"/>
    </row>
    <row r="165" spans="13:22" s="147" customFormat="1" x14ac:dyDescent="0.25">
      <c r="M165" s="306"/>
      <c r="N165" s="303"/>
      <c r="P165" s="259"/>
      <c r="R165" s="350"/>
      <c r="S165" s="350"/>
      <c r="T165" s="350"/>
      <c r="U165" s="350"/>
      <c r="V165" s="350"/>
    </row>
    <row r="166" spans="13:22" s="147" customFormat="1" x14ac:dyDescent="0.25">
      <c r="M166" s="306"/>
      <c r="N166" s="303"/>
      <c r="P166" s="259"/>
      <c r="R166" s="350"/>
      <c r="S166" s="350"/>
      <c r="T166" s="350"/>
      <c r="U166" s="350"/>
      <c r="V166" s="350"/>
    </row>
    <row r="167" spans="13:22" s="147" customFormat="1" x14ac:dyDescent="0.25">
      <c r="M167" s="306"/>
      <c r="N167" s="303"/>
      <c r="P167" s="259"/>
      <c r="R167" s="350"/>
      <c r="S167" s="350"/>
      <c r="T167" s="350"/>
      <c r="U167" s="350"/>
      <c r="V167" s="350"/>
    </row>
    <row r="168" spans="13:22" s="147" customFormat="1" x14ac:dyDescent="0.25">
      <c r="M168" s="306"/>
      <c r="N168" s="303"/>
      <c r="P168" s="259"/>
      <c r="R168" s="350"/>
      <c r="S168" s="350"/>
      <c r="T168" s="350"/>
      <c r="U168" s="350"/>
      <c r="V168" s="350"/>
    </row>
    <row r="169" spans="13:22" s="147" customFormat="1" x14ac:dyDescent="0.25">
      <c r="M169" s="306"/>
      <c r="N169" s="303"/>
      <c r="P169" s="259"/>
      <c r="R169" s="350"/>
      <c r="S169" s="350"/>
      <c r="T169" s="350"/>
      <c r="U169" s="350"/>
      <c r="V169" s="350"/>
    </row>
    <row r="170" spans="13:22" s="147" customFormat="1" x14ac:dyDescent="0.25">
      <c r="M170" s="306"/>
      <c r="N170" s="303"/>
      <c r="P170" s="259"/>
      <c r="R170" s="350"/>
      <c r="S170" s="350"/>
      <c r="T170" s="350"/>
      <c r="U170" s="350"/>
      <c r="V170" s="350"/>
    </row>
    <row r="171" spans="13:22" s="147" customFormat="1" x14ac:dyDescent="0.25">
      <c r="M171" s="306"/>
      <c r="N171" s="303"/>
      <c r="P171" s="259"/>
      <c r="R171" s="350"/>
      <c r="S171" s="350"/>
      <c r="T171" s="350"/>
      <c r="U171" s="350"/>
      <c r="V171" s="350"/>
    </row>
    <row r="172" spans="13:22" s="147" customFormat="1" x14ac:dyDescent="0.25">
      <c r="M172" s="306"/>
      <c r="N172" s="303"/>
      <c r="P172" s="259"/>
      <c r="R172" s="350"/>
      <c r="S172" s="350"/>
      <c r="T172" s="350"/>
      <c r="U172" s="350"/>
      <c r="V172" s="350"/>
    </row>
    <row r="173" spans="13:22" s="147" customFormat="1" x14ac:dyDescent="0.25">
      <c r="M173" s="306"/>
      <c r="N173" s="303"/>
      <c r="P173" s="259"/>
      <c r="R173" s="350"/>
      <c r="S173" s="350"/>
      <c r="T173" s="350"/>
      <c r="U173" s="350"/>
      <c r="V173" s="350"/>
    </row>
    <row r="174" spans="13:22" s="147" customFormat="1" x14ac:dyDescent="0.25">
      <c r="M174" s="306"/>
      <c r="N174" s="303"/>
      <c r="P174" s="259"/>
      <c r="R174" s="350"/>
      <c r="S174" s="350"/>
      <c r="T174" s="350"/>
      <c r="U174" s="350"/>
      <c r="V174" s="350"/>
    </row>
    <row r="175" spans="13:22" s="147" customFormat="1" x14ac:dyDescent="0.25">
      <c r="M175" s="306"/>
      <c r="N175" s="303"/>
      <c r="P175" s="259"/>
      <c r="R175" s="350"/>
      <c r="S175" s="350"/>
      <c r="T175" s="350"/>
      <c r="U175" s="350"/>
      <c r="V175" s="350"/>
    </row>
    <row r="176" spans="13:22" s="147" customFormat="1" x14ac:dyDescent="0.25">
      <c r="M176" s="306"/>
      <c r="N176" s="303"/>
      <c r="P176" s="259"/>
      <c r="R176" s="350"/>
      <c r="S176" s="350"/>
      <c r="T176" s="350"/>
      <c r="U176" s="350"/>
      <c r="V176" s="350"/>
    </row>
    <row r="177" spans="13:22" s="147" customFormat="1" x14ac:dyDescent="0.25">
      <c r="M177" s="306"/>
      <c r="N177" s="303"/>
      <c r="P177" s="259"/>
      <c r="R177" s="350"/>
      <c r="S177" s="350"/>
      <c r="T177" s="350"/>
      <c r="U177" s="350"/>
      <c r="V177" s="350"/>
    </row>
    <row r="178" spans="13:22" s="147" customFormat="1" x14ac:dyDescent="0.25">
      <c r="M178" s="306"/>
      <c r="N178" s="303"/>
      <c r="P178" s="259"/>
      <c r="R178" s="350"/>
      <c r="S178" s="350"/>
      <c r="T178" s="350"/>
      <c r="U178" s="350"/>
      <c r="V178" s="350"/>
    </row>
    <row r="179" spans="13:22" s="147" customFormat="1" x14ac:dyDescent="0.25">
      <c r="M179" s="306"/>
      <c r="N179" s="303"/>
      <c r="P179" s="259"/>
      <c r="R179" s="350"/>
      <c r="S179" s="350"/>
      <c r="T179" s="350"/>
      <c r="U179" s="350"/>
      <c r="V179" s="350"/>
    </row>
    <row r="180" spans="13:22" s="147" customFormat="1" x14ac:dyDescent="0.25">
      <c r="M180" s="306"/>
      <c r="N180" s="303"/>
      <c r="P180" s="259"/>
      <c r="R180" s="350"/>
      <c r="S180" s="350"/>
      <c r="T180" s="350"/>
      <c r="U180" s="350"/>
      <c r="V180" s="350"/>
    </row>
    <row r="181" spans="13:22" s="147" customFormat="1" x14ac:dyDescent="0.25">
      <c r="M181" s="306"/>
      <c r="N181" s="303"/>
      <c r="P181" s="259"/>
      <c r="R181" s="350"/>
      <c r="S181" s="350"/>
      <c r="T181" s="350"/>
      <c r="U181" s="350"/>
      <c r="V181" s="350"/>
    </row>
    <row r="182" spans="13:22" s="147" customFormat="1" x14ac:dyDescent="0.25">
      <c r="M182" s="306"/>
      <c r="N182" s="303"/>
      <c r="P182" s="259"/>
      <c r="R182" s="350"/>
      <c r="S182" s="350"/>
      <c r="T182" s="350"/>
      <c r="U182" s="350"/>
      <c r="V182" s="350"/>
    </row>
    <row r="183" spans="13:22" s="147" customFormat="1" x14ac:dyDescent="0.25">
      <c r="M183" s="306"/>
      <c r="N183" s="303"/>
      <c r="P183" s="259"/>
      <c r="R183" s="350"/>
      <c r="S183" s="350"/>
      <c r="T183" s="350"/>
      <c r="U183" s="350"/>
      <c r="V183" s="350"/>
    </row>
    <row r="184" spans="13:22" s="147" customFormat="1" x14ac:dyDescent="0.25">
      <c r="M184" s="306"/>
      <c r="N184" s="303"/>
      <c r="P184" s="259"/>
      <c r="R184" s="350"/>
      <c r="S184" s="350"/>
      <c r="T184" s="350"/>
      <c r="U184" s="350"/>
      <c r="V184" s="350"/>
    </row>
    <row r="185" spans="13:22" s="147" customFormat="1" x14ac:dyDescent="0.25">
      <c r="M185" s="306"/>
      <c r="N185" s="303"/>
      <c r="P185" s="259"/>
      <c r="R185" s="350"/>
      <c r="S185" s="350"/>
      <c r="T185" s="350"/>
      <c r="U185" s="350"/>
      <c r="V185" s="350"/>
    </row>
    <row r="186" spans="13:22" s="147" customFormat="1" x14ac:dyDescent="0.25">
      <c r="M186" s="306"/>
      <c r="N186" s="303"/>
      <c r="P186" s="259"/>
      <c r="R186" s="350"/>
      <c r="S186" s="350"/>
      <c r="T186" s="350"/>
      <c r="U186" s="350"/>
      <c r="V186" s="350"/>
    </row>
    <row r="187" spans="13:22" s="147" customFormat="1" x14ac:dyDescent="0.25">
      <c r="M187" s="306"/>
      <c r="N187" s="303"/>
      <c r="P187" s="259"/>
      <c r="R187" s="350"/>
      <c r="S187" s="350"/>
      <c r="T187" s="350"/>
      <c r="U187" s="350"/>
      <c r="V187" s="350"/>
    </row>
    <row r="188" spans="13:22" s="147" customFormat="1" x14ac:dyDescent="0.25">
      <c r="M188" s="306"/>
      <c r="N188" s="303"/>
      <c r="P188" s="259"/>
      <c r="R188" s="350"/>
      <c r="S188" s="350"/>
      <c r="T188" s="350"/>
      <c r="U188" s="350"/>
      <c r="V188" s="350"/>
    </row>
    <row r="189" spans="13:22" s="147" customFormat="1" x14ac:dyDescent="0.25">
      <c r="M189" s="306"/>
      <c r="N189" s="303"/>
      <c r="P189" s="259"/>
      <c r="R189" s="350"/>
      <c r="S189" s="350"/>
      <c r="T189" s="350"/>
      <c r="U189" s="350"/>
      <c r="V189" s="350"/>
    </row>
    <row r="190" spans="13:22" s="147" customFormat="1" x14ac:dyDescent="0.25">
      <c r="M190" s="306"/>
      <c r="N190" s="303"/>
      <c r="P190" s="259"/>
      <c r="R190" s="350"/>
      <c r="S190" s="350"/>
      <c r="T190" s="350"/>
      <c r="U190" s="350"/>
      <c r="V190" s="350"/>
    </row>
    <row r="191" spans="13:22" s="147" customFormat="1" x14ac:dyDescent="0.25">
      <c r="M191" s="306"/>
      <c r="N191" s="303"/>
      <c r="P191" s="259"/>
      <c r="R191" s="350"/>
      <c r="S191" s="350"/>
      <c r="T191" s="350"/>
      <c r="U191" s="350"/>
      <c r="V191" s="350"/>
    </row>
    <row r="192" spans="13:22" s="147" customFormat="1" x14ac:dyDescent="0.25">
      <c r="M192" s="306"/>
      <c r="N192" s="303"/>
      <c r="P192" s="259"/>
      <c r="R192" s="350"/>
      <c r="S192" s="350"/>
      <c r="T192" s="350"/>
      <c r="U192" s="350"/>
      <c r="V192" s="350"/>
    </row>
    <row r="193" spans="13:22" s="147" customFormat="1" x14ac:dyDescent="0.25">
      <c r="M193" s="306"/>
      <c r="N193" s="303"/>
      <c r="P193" s="259"/>
      <c r="R193" s="350"/>
      <c r="S193" s="350"/>
      <c r="T193" s="350"/>
      <c r="U193" s="350"/>
      <c r="V193" s="350"/>
    </row>
    <row r="194" spans="13:22" s="147" customFormat="1" x14ac:dyDescent="0.25">
      <c r="M194" s="306"/>
      <c r="N194" s="303"/>
      <c r="P194" s="259"/>
      <c r="R194" s="350"/>
      <c r="S194" s="350"/>
      <c r="T194" s="350"/>
      <c r="U194" s="350"/>
      <c r="V194" s="350"/>
    </row>
    <row r="195" spans="13:22" s="147" customFormat="1" x14ac:dyDescent="0.25">
      <c r="M195" s="306"/>
      <c r="N195" s="303"/>
      <c r="P195" s="259"/>
      <c r="R195" s="350"/>
      <c r="S195" s="350"/>
      <c r="T195" s="350"/>
      <c r="U195" s="350"/>
      <c r="V195" s="350"/>
    </row>
    <row r="196" spans="13:22" s="147" customFormat="1" x14ac:dyDescent="0.25">
      <c r="M196" s="306"/>
      <c r="N196" s="303"/>
      <c r="P196" s="259"/>
      <c r="R196" s="350"/>
      <c r="S196" s="350"/>
      <c r="T196" s="350"/>
      <c r="U196" s="350"/>
      <c r="V196" s="350"/>
    </row>
    <row r="197" spans="13:22" s="147" customFormat="1" x14ac:dyDescent="0.25">
      <c r="M197" s="306"/>
      <c r="N197" s="303"/>
      <c r="P197" s="259"/>
      <c r="R197" s="350"/>
      <c r="S197" s="350"/>
      <c r="T197" s="350"/>
      <c r="U197" s="350"/>
      <c r="V197" s="350"/>
    </row>
    <row r="198" spans="13:22" s="147" customFormat="1" x14ac:dyDescent="0.25">
      <c r="M198" s="306"/>
      <c r="N198" s="303"/>
      <c r="P198" s="259"/>
      <c r="R198" s="350"/>
      <c r="S198" s="350"/>
      <c r="T198" s="350"/>
      <c r="U198" s="350"/>
      <c r="V198" s="350"/>
    </row>
    <row r="199" spans="13:22" s="147" customFormat="1" x14ac:dyDescent="0.25">
      <c r="M199" s="306"/>
      <c r="N199" s="303"/>
      <c r="P199" s="259"/>
      <c r="R199" s="350"/>
      <c r="S199" s="350"/>
      <c r="T199" s="350"/>
      <c r="U199" s="350"/>
      <c r="V199" s="350"/>
    </row>
    <row r="200" spans="13:22" s="147" customFormat="1" x14ac:dyDescent="0.25">
      <c r="M200" s="306"/>
      <c r="N200" s="303"/>
      <c r="P200" s="259"/>
      <c r="R200" s="350"/>
      <c r="S200" s="350"/>
      <c r="T200" s="350"/>
      <c r="U200" s="350"/>
      <c r="V200" s="350"/>
    </row>
    <row r="201" spans="13:22" s="147" customFormat="1" x14ac:dyDescent="0.25">
      <c r="M201" s="306"/>
      <c r="N201" s="303"/>
      <c r="P201" s="259"/>
      <c r="R201" s="350"/>
      <c r="S201" s="350"/>
      <c r="T201" s="350"/>
      <c r="U201" s="350"/>
      <c r="V201" s="350"/>
    </row>
    <row r="202" spans="13:22" s="147" customFormat="1" x14ac:dyDescent="0.25">
      <c r="M202" s="306"/>
      <c r="N202" s="303"/>
      <c r="P202" s="259"/>
      <c r="R202" s="350"/>
      <c r="S202" s="350"/>
      <c r="T202" s="350"/>
      <c r="U202" s="350"/>
      <c r="V202" s="350"/>
    </row>
    <row r="203" spans="13:22" s="147" customFormat="1" x14ac:dyDescent="0.25">
      <c r="M203" s="306"/>
      <c r="N203" s="303"/>
      <c r="P203" s="259"/>
      <c r="R203" s="350"/>
      <c r="S203" s="350"/>
      <c r="T203" s="350"/>
      <c r="U203" s="350"/>
      <c r="V203" s="350"/>
    </row>
    <row r="204" spans="13:22" s="147" customFormat="1" x14ac:dyDescent="0.25">
      <c r="M204" s="306"/>
      <c r="N204" s="303"/>
      <c r="P204" s="259"/>
      <c r="R204" s="350"/>
      <c r="S204" s="350"/>
      <c r="T204" s="350"/>
      <c r="U204" s="350"/>
      <c r="V204" s="350"/>
    </row>
    <row r="205" spans="13:22" s="147" customFormat="1" x14ac:dyDescent="0.25">
      <c r="M205" s="306"/>
      <c r="N205" s="303"/>
      <c r="P205" s="259"/>
      <c r="R205" s="350"/>
      <c r="S205" s="350"/>
      <c r="T205" s="350"/>
      <c r="U205" s="350"/>
      <c r="V205" s="350"/>
    </row>
    <row r="206" spans="13:22" s="147" customFormat="1" x14ac:dyDescent="0.25">
      <c r="M206" s="306"/>
      <c r="N206" s="303"/>
      <c r="P206" s="259"/>
      <c r="R206" s="350"/>
      <c r="S206" s="350"/>
      <c r="T206" s="350"/>
      <c r="U206" s="350"/>
      <c r="V206" s="350"/>
    </row>
    <row r="207" spans="13:22" s="147" customFormat="1" x14ac:dyDescent="0.25">
      <c r="M207" s="306"/>
      <c r="N207" s="303"/>
      <c r="P207" s="259"/>
      <c r="R207" s="350"/>
      <c r="S207" s="350"/>
      <c r="T207" s="350"/>
      <c r="U207" s="350"/>
      <c r="V207" s="350"/>
    </row>
    <row r="208" spans="13:22" s="147" customFormat="1" x14ac:dyDescent="0.25">
      <c r="M208" s="306"/>
      <c r="N208" s="303"/>
      <c r="P208" s="259"/>
      <c r="R208" s="350"/>
      <c r="S208" s="350"/>
      <c r="T208" s="350"/>
      <c r="U208" s="350"/>
      <c r="V208" s="350"/>
    </row>
    <row r="209" spans="13:22" s="147" customFormat="1" x14ac:dyDescent="0.25">
      <c r="M209" s="306"/>
      <c r="N209" s="303"/>
      <c r="P209" s="259"/>
      <c r="R209" s="350"/>
      <c r="S209" s="350"/>
      <c r="T209" s="350"/>
      <c r="U209" s="350"/>
      <c r="V209" s="350"/>
    </row>
    <row r="210" spans="13:22" s="147" customFormat="1" x14ac:dyDescent="0.25">
      <c r="M210" s="306"/>
      <c r="N210" s="303"/>
      <c r="P210" s="259"/>
      <c r="R210" s="350"/>
      <c r="S210" s="350"/>
      <c r="T210" s="350"/>
      <c r="U210" s="350"/>
      <c r="V210" s="350"/>
    </row>
    <row r="211" spans="13:22" s="147" customFormat="1" x14ac:dyDescent="0.25">
      <c r="M211" s="306"/>
      <c r="N211" s="303"/>
      <c r="P211" s="259"/>
      <c r="R211" s="350"/>
      <c r="S211" s="350"/>
      <c r="T211" s="350"/>
      <c r="U211" s="350"/>
      <c r="V211" s="350"/>
    </row>
    <row r="212" spans="13:22" s="147" customFormat="1" x14ac:dyDescent="0.25">
      <c r="M212" s="306"/>
      <c r="N212" s="303"/>
      <c r="P212" s="259"/>
      <c r="R212" s="350"/>
      <c r="S212" s="350"/>
      <c r="T212" s="350"/>
      <c r="U212" s="350"/>
      <c r="V212" s="350"/>
    </row>
    <row r="213" spans="13:22" s="147" customFormat="1" x14ac:dyDescent="0.25">
      <c r="M213" s="306"/>
      <c r="N213" s="303"/>
      <c r="P213" s="259"/>
      <c r="R213" s="350"/>
      <c r="S213" s="350"/>
      <c r="T213" s="350"/>
      <c r="U213" s="350"/>
      <c r="V213" s="350"/>
    </row>
    <row r="214" spans="13:22" s="147" customFormat="1" x14ac:dyDescent="0.25">
      <c r="M214" s="306"/>
      <c r="N214" s="303"/>
      <c r="P214" s="259"/>
      <c r="R214" s="350"/>
      <c r="S214" s="350"/>
      <c r="T214" s="350"/>
      <c r="U214" s="350"/>
      <c r="V214" s="350"/>
    </row>
    <row r="215" spans="13:22" s="147" customFormat="1" x14ac:dyDescent="0.25">
      <c r="M215" s="306"/>
      <c r="N215" s="303"/>
      <c r="P215" s="259"/>
      <c r="R215" s="350"/>
      <c r="S215" s="350"/>
      <c r="T215" s="350"/>
      <c r="U215" s="350"/>
      <c r="V215" s="350"/>
    </row>
    <row r="216" spans="13:22" s="147" customFormat="1" x14ac:dyDescent="0.25">
      <c r="M216" s="306"/>
      <c r="N216" s="303"/>
      <c r="P216" s="259"/>
      <c r="R216" s="350"/>
      <c r="S216" s="350"/>
      <c r="T216" s="350"/>
      <c r="U216" s="350"/>
      <c r="V216" s="350"/>
    </row>
    <row r="217" spans="13:22" s="147" customFormat="1" x14ac:dyDescent="0.25">
      <c r="M217" s="306"/>
      <c r="N217" s="303"/>
      <c r="P217" s="259"/>
      <c r="R217" s="350"/>
      <c r="S217" s="350"/>
      <c r="T217" s="350"/>
      <c r="U217" s="350"/>
      <c r="V217" s="350"/>
    </row>
    <row r="218" spans="13:22" s="147" customFormat="1" x14ac:dyDescent="0.25">
      <c r="M218" s="306"/>
      <c r="N218" s="303"/>
      <c r="P218" s="259"/>
      <c r="R218" s="350"/>
      <c r="S218" s="350"/>
      <c r="T218" s="350"/>
      <c r="U218" s="350"/>
      <c r="V218" s="350"/>
    </row>
    <row r="219" spans="13:22" s="147" customFormat="1" x14ac:dyDescent="0.25">
      <c r="M219" s="306"/>
      <c r="N219" s="303"/>
      <c r="P219" s="259"/>
      <c r="R219" s="350"/>
      <c r="S219" s="350"/>
      <c r="T219" s="350"/>
      <c r="U219" s="350"/>
      <c r="V219" s="350"/>
    </row>
    <row r="220" spans="13:22" s="147" customFormat="1" x14ac:dyDescent="0.25">
      <c r="M220" s="306"/>
      <c r="N220" s="303"/>
      <c r="P220" s="259"/>
      <c r="R220" s="350"/>
      <c r="S220" s="350"/>
      <c r="T220" s="350"/>
      <c r="U220" s="350"/>
      <c r="V220" s="350"/>
    </row>
    <row r="221" spans="13:22" s="147" customFormat="1" x14ac:dyDescent="0.25">
      <c r="M221" s="306"/>
      <c r="N221" s="303"/>
      <c r="P221" s="259"/>
      <c r="R221" s="350"/>
      <c r="S221" s="350"/>
      <c r="T221" s="350"/>
      <c r="U221" s="350"/>
      <c r="V221" s="350"/>
    </row>
    <row r="222" spans="13:22" s="147" customFormat="1" x14ac:dyDescent="0.25">
      <c r="M222" s="306"/>
      <c r="N222" s="303"/>
      <c r="P222" s="259"/>
      <c r="R222" s="350"/>
      <c r="S222" s="350"/>
      <c r="T222" s="350"/>
      <c r="U222" s="350"/>
      <c r="V222" s="350"/>
    </row>
    <row r="223" spans="13:22" s="147" customFormat="1" x14ac:dyDescent="0.25">
      <c r="M223" s="306"/>
      <c r="N223" s="303"/>
      <c r="P223" s="259"/>
      <c r="R223" s="350"/>
      <c r="S223" s="350"/>
      <c r="T223" s="350"/>
      <c r="U223" s="350"/>
      <c r="V223" s="350"/>
    </row>
    <row r="224" spans="13:22" s="147" customFormat="1" x14ac:dyDescent="0.25">
      <c r="M224" s="306"/>
      <c r="N224" s="303"/>
      <c r="P224" s="259"/>
      <c r="R224" s="350"/>
      <c r="S224" s="350"/>
      <c r="T224" s="350"/>
      <c r="U224" s="350"/>
      <c r="V224" s="350"/>
    </row>
    <row r="225" spans="13:22" s="147" customFormat="1" x14ac:dyDescent="0.25">
      <c r="M225" s="306"/>
      <c r="N225" s="303"/>
      <c r="P225" s="259"/>
      <c r="R225" s="350"/>
      <c r="S225" s="350"/>
      <c r="T225" s="350"/>
      <c r="U225" s="350"/>
      <c r="V225" s="350"/>
    </row>
    <row r="226" spans="13:22" s="147" customFormat="1" x14ac:dyDescent="0.25">
      <c r="M226" s="306"/>
      <c r="N226" s="303"/>
      <c r="P226" s="259"/>
      <c r="R226" s="350"/>
      <c r="S226" s="350"/>
      <c r="T226" s="350"/>
      <c r="U226" s="350"/>
      <c r="V226" s="350"/>
    </row>
    <row r="227" spans="13:22" s="147" customFormat="1" x14ac:dyDescent="0.25">
      <c r="M227" s="306"/>
      <c r="N227" s="303"/>
      <c r="P227" s="259"/>
      <c r="R227" s="350"/>
      <c r="S227" s="350"/>
      <c r="T227" s="350"/>
      <c r="U227" s="350"/>
      <c r="V227" s="350"/>
    </row>
    <row r="228" spans="13:22" s="147" customFormat="1" x14ac:dyDescent="0.25">
      <c r="M228" s="306"/>
      <c r="N228" s="303"/>
      <c r="P228" s="259"/>
      <c r="R228" s="350"/>
      <c r="S228" s="350"/>
      <c r="T228" s="350"/>
      <c r="U228" s="350"/>
      <c r="V228" s="350"/>
    </row>
    <row r="229" spans="13:22" s="147" customFormat="1" x14ac:dyDescent="0.25">
      <c r="M229" s="306"/>
      <c r="N229" s="303"/>
      <c r="P229" s="259"/>
      <c r="R229" s="350"/>
      <c r="S229" s="350"/>
      <c r="T229" s="350"/>
      <c r="U229" s="350"/>
      <c r="V229" s="350"/>
    </row>
    <row r="230" spans="13:22" s="147" customFormat="1" x14ac:dyDescent="0.25">
      <c r="M230" s="306"/>
      <c r="N230" s="303"/>
      <c r="P230" s="259"/>
      <c r="R230" s="350"/>
      <c r="S230" s="350"/>
      <c r="T230" s="350"/>
      <c r="U230" s="350"/>
      <c r="V230" s="350"/>
    </row>
    <row r="231" spans="13:22" s="147" customFormat="1" x14ac:dyDescent="0.25">
      <c r="M231" s="306"/>
      <c r="N231" s="303"/>
      <c r="P231" s="259"/>
      <c r="R231" s="350"/>
      <c r="S231" s="350"/>
      <c r="T231" s="350"/>
      <c r="U231" s="350"/>
      <c r="V231" s="350"/>
    </row>
    <row r="232" spans="13:22" s="147" customFormat="1" x14ac:dyDescent="0.25">
      <c r="M232" s="306"/>
      <c r="N232" s="303"/>
      <c r="P232" s="259"/>
      <c r="R232" s="350"/>
      <c r="S232" s="350"/>
      <c r="T232" s="350"/>
      <c r="U232" s="350"/>
      <c r="V232" s="350"/>
    </row>
    <row r="233" spans="13:22" s="147" customFormat="1" x14ac:dyDescent="0.25">
      <c r="M233" s="306"/>
      <c r="N233" s="303"/>
      <c r="P233" s="259"/>
      <c r="R233" s="350"/>
      <c r="S233" s="350"/>
      <c r="T233" s="350"/>
      <c r="U233" s="350"/>
      <c r="V233" s="350"/>
    </row>
    <row r="234" spans="13:22" s="147" customFormat="1" x14ac:dyDescent="0.25">
      <c r="M234" s="306"/>
      <c r="N234" s="303"/>
      <c r="P234" s="259"/>
      <c r="R234" s="350"/>
      <c r="S234" s="350"/>
      <c r="T234" s="350"/>
      <c r="U234" s="350"/>
      <c r="V234" s="350"/>
    </row>
    <row r="235" spans="13:22" s="147" customFormat="1" x14ac:dyDescent="0.25">
      <c r="M235" s="306"/>
      <c r="N235" s="303"/>
      <c r="P235" s="259"/>
      <c r="R235" s="350"/>
      <c r="S235" s="350"/>
      <c r="T235" s="350"/>
      <c r="U235" s="350"/>
      <c r="V235" s="350"/>
    </row>
    <row r="236" spans="13:22" s="147" customFormat="1" x14ac:dyDescent="0.25">
      <c r="M236" s="306"/>
      <c r="N236" s="303"/>
      <c r="P236" s="259"/>
      <c r="R236" s="350"/>
      <c r="S236" s="350"/>
      <c r="T236" s="350"/>
      <c r="U236" s="350"/>
      <c r="V236" s="350"/>
    </row>
    <row r="237" spans="13:22" s="147" customFormat="1" x14ac:dyDescent="0.25">
      <c r="M237" s="306"/>
      <c r="N237" s="303"/>
      <c r="P237" s="259"/>
      <c r="R237" s="350"/>
      <c r="S237" s="350"/>
      <c r="T237" s="350"/>
      <c r="U237" s="350"/>
      <c r="V237" s="350"/>
    </row>
    <row r="238" spans="13:22" s="147" customFormat="1" x14ac:dyDescent="0.25">
      <c r="M238" s="306"/>
      <c r="N238" s="303"/>
      <c r="P238" s="259"/>
      <c r="R238" s="350"/>
      <c r="S238" s="350"/>
      <c r="T238" s="350"/>
      <c r="U238" s="350"/>
      <c r="V238" s="350"/>
    </row>
    <row r="239" spans="13:22" s="147" customFormat="1" x14ac:dyDescent="0.25">
      <c r="M239" s="306"/>
      <c r="N239" s="303"/>
      <c r="P239" s="259"/>
      <c r="R239" s="350"/>
      <c r="S239" s="350"/>
      <c r="T239" s="350"/>
      <c r="U239" s="350"/>
      <c r="V239" s="350"/>
    </row>
    <row r="240" spans="13:22" s="147" customFormat="1" x14ac:dyDescent="0.25">
      <c r="M240" s="306"/>
      <c r="N240" s="303"/>
      <c r="P240" s="259"/>
      <c r="R240" s="350"/>
      <c r="S240" s="350"/>
      <c r="T240" s="350"/>
      <c r="U240" s="350"/>
      <c r="V240" s="350"/>
    </row>
    <row r="241" spans="13:22" s="147" customFormat="1" x14ac:dyDescent="0.25">
      <c r="M241" s="306"/>
      <c r="N241" s="303"/>
      <c r="P241" s="259"/>
      <c r="R241" s="350"/>
      <c r="S241" s="350"/>
      <c r="T241" s="350"/>
      <c r="U241" s="350"/>
      <c r="V241" s="350"/>
    </row>
    <row r="242" spans="13:22" s="147" customFormat="1" x14ac:dyDescent="0.25">
      <c r="M242" s="306"/>
      <c r="N242" s="303"/>
      <c r="P242" s="259"/>
      <c r="R242" s="350"/>
      <c r="S242" s="350"/>
      <c r="T242" s="350"/>
      <c r="U242" s="350"/>
      <c r="V242" s="350"/>
    </row>
    <row r="243" spans="13:22" s="147" customFormat="1" x14ac:dyDescent="0.25">
      <c r="M243" s="306"/>
      <c r="N243" s="303"/>
      <c r="P243" s="259"/>
      <c r="R243" s="350"/>
      <c r="S243" s="350"/>
      <c r="T243" s="350"/>
      <c r="U243" s="350"/>
      <c r="V243" s="350"/>
    </row>
    <row r="244" spans="13:22" s="147" customFormat="1" x14ac:dyDescent="0.25">
      <c r="M244" s="306"/>
      <c r="N244" s="303"/>
      <c r="P244" s="259"/>
      <c r="R244" s="350"/>
      <c r="S244" s="350"/>
      <c r="T244" s="350"/>
      <c r="U244" s="350"/>
      <c r="V244" s="350"/>
    </row>
    <row r="245" spans="13:22" s="147" customFormat="1" x14ac:dyDescent="0.25">
      <c r="M245" s="306"/>
      <c r="N245" s="303"/>
      <c r="P245" s="259"/>
      <c r="R245" s="350"/>
      <c r="S245" s="350"/>
      <c r="T245" s="350"/>
      <c r="U245" s="350"/>
      <c r="V245" s="350"/>
    </row>
    <row r="246" spans="13:22" s="147" customFormat="1" x14ac:dyDescent="0.25">
      <c r="M246" s="306"/>
      <c r="N246" s="303"/>
      <c r="P246" s="259"/>
      <c r="R246" s="350"/>
      <c r="S246" s="350"/>
      <c r="T246" s="350"/>
      <c r="U246" s="350"/>
      <c r="V246" s="350"/>
    </row>
    <row r="247" spans="13:22" s="147" customFormat="1" x14ac:dyDescent="0.25">
      <c r="M247" s="306"/>
      <c r="N247" s="303"/>
      <c r="P247" s="259"/>
      <c r="R247" s="350"/>
      <c r="S247" s="350"/>
      <c r="T247" s="350"/>
      <c r="U247" s="350"/>
      <c r="V247" s="350"/>
    </row>
    <row r="248" spans="13:22" s="147" customFormat="1" x14ac:dyDescent="0.25">
      <c r="M248" s="306"/>
      <c r="N248" s="303"/>
      <c r="P248" s="259"/>
      <c r="R248" s="350"/>
      <c r="S248" s="350"/>
      <c r="T248" s="350"/>
      <c r="U248" s="350"/>
      <c r="V248" s="350"/>
    </row>
    <row r="249" spans="13:22" s="147" customFormat="1" x14ac:dyDescent="0.25">
      <c r="M249" s="306"/>
      <c r="N249" s="303"/>
      <c r="P249" s="259"/>
      <c r="R249" s="350"/>
      <c r="S249" s="350"/>
      <c r="T249" s="350"/>
      <c r="U249" s="350"/>
      <c r="V249" s="350"/>
    </row>
    <row r="250" spans="13:22" s="147" customFormat="1" x14ac:dyDescent="0.25">
      <c r="M250" s="306"/>
      <c r="N250" s="303"/>
      <c r="P250" s="259"/>
      <c r="R250" s="350"/>
      <c r="S250" s="350"/>
      <c r="T250" s="350"/>
      <c r="U250" s="350"/>
      <c r="V250" s="350"/>
    </row>
    <row r="251" spans="13:22" s="147" customFormat="1" x14ac:dyDescent="0.25">
      <c r="M251" s="306"/>
      <c r="N251" s="303"/>
      <c r="P251" s="259"/>
      <c r="R251" s="350"/>
      <c r="S251" s="350"/>
      <c r="T251" s="350"/>
      <c r="U251" s="350"/>
      <c r="V251" s="350"/>
    </row>
    <row r="252" spans="13:22" s="147" customFormat="1" x14ac:dyDescent="0.25">
      <c r="M252" s="306"/>
      <c r="N252" s="303"/>
      <c r="P252" s="259"/>
      <c r="R252" s="350"/>
      <c r="S252" s="350"/>
      <c r="T252" s="350"/>
      <c r="U252" s="350"/>
      <c r="V252" s="350"/>
    </row>
    <row r="253" spans="13:22" s="147" customFormat="1" x14ac:dyDescent="0.25">
      <c r="M253" s="306"/>
      <c r="N253" s="303"/>
      <c r="P253" s="259"/>
      <c r="R253" s="350"/>
      <c r="S253" s="350"/>
      <c r="T253" s="350"/>
      <c r="U253" s="350"/>
      <c r="V253" s="350"/>
    </row>
    <row r="254" spans="13:22" s="147" customFormat="1" x14ac:dyDescent="0.25">
      <c r="M254" s="306"/>
      <c r="N254" s="303"/>
      <c r="P254" s="259"/>
      <c r="R254" s="350"/>
      <c r="S254" s="350"/>
      <c r="T254" s="350"/>
      <c r="U254" s="350"/>
      <c r="V254" s="350"/>
    </row>
    <row r="255" spans="13:22" s="147" customFormat="1" x14ac:dyDescent="0.25">
      <c r="M255" s="306"/>
      <c r="N255" s="303"/>
      <c r="P255" s="259"/>
      <c r="R255" s="350"/>
      <c r="S255" s="350"/>
      <c r="T255" s="350"/>
      <c r="U255" s="350"/>
      <c r="V255" s="350"/>
    </row>
    <row r="256" spans="13:22" s="147" customFormat="1" x14ac:dyDescent="0.25">
      <c r="M256" s="306"/>
      <c r="N256" s="303"/>
      <c r="P256" s="259"/>
      <c r="R256" s="350"/>
      <c r="S256" s="350"/>
      <c r="T256" s="350"/>
      <c r="U256" s="350"/>
      <c r="V256" s="350"/>
    </row>
    <row r="257" spans="13:22" s="147" customFormat="1" x14ac:dyDescent="0.25">
      <c r="M257" s="306"/>
      <c r="N257" s="303"/>
      <c r="P257" s="259"/>
      <c r="R257" s="350"/>
      <c r="S257" s="350"/>
      <c r="T257" s="350"/>
      <c r="U257" s="350"/>
      <c r="V257" s="350"/>
    </row>
    <row r="258" spans="13:22" s="147" customFormat="1" x14ac:dyDescent="0.25">
      <c r="M258" s="306"/>
      <c r="N258" s="303"/>
      <c r="P258" s="259"/>
      <c r="R258" s="350"/>
      <c r="S258" s="350"/>
      <c r="T258" s="350"/>
      <c r="U258" s="350"/>
      <c r="V258" s="350"/>
    </row>
    <row r="259" spans="13:22" s="147" customFormat="1" x14ac:dyDescent="0.25">
      <c r="M259" s="306"/>
      <c r="N259" s="303"/>
      <c r="P259" s="259"/>
      <c r="R259" s="350"/>
      <c r="S259" s="350"/>
      <c r="T259" s="350"/>
      <c r="U259" s="350"/>
      <c r="V259" s="350"/>
    </row>
    <row r="260" spans="13:22" s="147" customFormat="1" x14ac:dyDescent="0.25">
      <c r="M260" s="306"/>
      <c r="N260" s="303"/>
      <c r="P260" s="259"/>
      <c r="R260" s="350"/>
      <c r="S260" s="350"/>
      <c r="T260" s="350"/>
      <c r="U260" s="350"/>
      <c r="V260" s="350"/>
    </row>
    <row r="261" spans="13:22" s="147" customFormat="1" x14ac:dyDescent="0.25">
      <c r="M261" s="306"/>
      <c r="N261" s="303"/>
      <c r="P261" s="259"/>
      <c r="R261" s="350"/>
      <c r="S261" s="350"/>
      <c r="T261" s="350"/>
      <c r="U261" s="350"/>
      <c r="V261" s="350"/>
    </row>
    <row r="262" spans="13:22" s="147" customFormat="1" x14ac:dyDescent="0.25">
      <c r="M262" s="306"/>
      <c r="N262" s="303"/>
      <c r="P262" s="259"/>
      <c r="R262" s="350"/>
      <c r="S262" s="350"/>
      <c r="T262" s="350"/>
      <c r="U262" s="350"/>
      <c r="V262" s="350"/>
    </row>
    <row r="263" spans="13:22" s="147" customFormat="1" x14ac:dyDescent="0.25">
      <c r="M263" s="306"/>
      <c r="N263" s="303"/>
      <c r="P263" s="259"/>
      <c r="R263" s="350"/>
      <c r="S263" s="350"/>
      <c r="T263" s="350"/>
      <c r="U263" s="350"/>
      <c r="V263" s="350"/>
    </row>
    <row r="264" spans="13:22" s="147" customFormat="1" x14ac:dyDescent="0.25">
      <c r="M264" s="306"/>
      <c r="N264" s="303"/>
      <c r="P264" s="259"/>
      <c r="R264" s="350"/>
      <c r="S264" s="350"/>
      <c r="T264" s="350"/>
      <c r="U264" s="350"/>
      <c r="V264" s="350"/>
    </row>
    <row r="265" spans="13:22" s="147" customFormat="1" x14ac:dyDescent="0.25">
      <c r="M265" s="306"/>
      <c r="N265" s="303"/>
      <c r="P265" s="259"/>
      <c r="R265" s="350"/>
      <c r="S265" s="350"/>
      <c r="T265" s="350"/>
      <c r="U265" s="350"/>
      <c r="V265" s="350"/>
    </row>
    <row r="266" spans="13:22" s="147" customFormat="1" x14ac:dyDescent="0.25">
      <c r="M266" s="306"/>
      <c r="N266" s="303"/>
      <c r="P266" s="259"/>
      <c r="R266" s="350"/>
      <c r="S266" s="350"/>
      <c r="T266" s="350"/>
      <c r="U266" s="350"/>
      <c r="V266" s="350"/>
    </row>
    <row r="267" spans="13:22" s="147" customFormat="1" x14ac:dyDescent="0.25">
      <c r="M267" s="306"/>
      <c r="N267" s="303"/>
      <c r="P267" s="259"/>
      <c r="R267" s="350"/>
      <c r="S267" s="350"/>
      <c r="T267" s="350"/>
      <c r="U267" s="350"/>
      <c r="V267" s="350"/>
    </row>
    <row r="268" spans="13:22" s="147" customFormat="1" x14ac:dyDescent="0.25">
      <c r="M268" s="306"/>
      <c r="N268" s="303"/>
      <c r="P268" s="259"/>
      <c r="R268" s="350"/>
      <c r="S268" s="350"/>
      <c r="T268" s="350"/>
      <c r="U268" s="350"/>
      <c r="V268" s="350"/>
    </row>
    <row r="269" spans="13:22" s="147" customFormat="1" x14ac:dyDescent="0.25">
      <c r="M269" s="306"/>
      <c r="N269" s="303"/>
      <c r="P269" s="259"/>
      <c r="R269" s="350"/>
      <c r="S269" s="350"/>
      <c r="T269" s="350"/>
      <c r="U269" s="350"/>
      <c r="V269" s="350"/>
    </row>
    <row r="270" spans="13:22" s="147" customFormat="1" x14ac:dyDescent="0.25">
      <c r="M270" s="306"/>
      <c r="N270" s="303"/>
      <c r="P270" s="259"/>
      <c r="R270" s="350"/>
      <c r="S270" s="350"/>
      <c r="T270" s="350"/>
      <c r="U270" s="350"/>
      <c r="V270" s="350"/>
    </row>
    <row r="271" spans="13:22" s="147" customFormat="1" x14ac:dyDescent="0.25">
      <c r="M271" s="306"/>
      <c r="N271" s="303"/>
      <c r="P271" s="259"/>
      <c r="R271" s="350"/>
      <c r="S271" s="350"/>
      <c r="T271" s="350"/>
      <c r="U271" s="350"/>
      <c r="V271" s="350"/>
    </row>
    <row r="272" spans="13:22" s="147" customFormat="1" x14ac:dyDescent="0.25">
      <c r="M272" s="306"/>
      <c r="N272" s="303"/>
      <c r="P272" s="259"/>
      <c r="R272" s="350"/>
      <c r="S272" s="350"/>
      <c r="T272" s="350"/>
      <c r="U272" s="350"/>
      <c r="V272" s="350"/>
    </row>
    <row r="273" spans="13:22" s="147" customFormat="1" x14ac:dyDescent="0.25">
      <c r="M273" s="306"/>
      <c r="N273" s="303"/>
      <c r="P273" s="259"/>
      <c r="R273" s="350"/>
      <c r="S273" s="350"/>
      <c r="T273" s="350"/>
      <c r="U273" s="350"/>
      <c r="V273" s="350"/>
    </row>
    <row r="274" spans="13:22" s="147" customFormat="1" x14ac:dyDescent="0.25">
      <c r="M274" s="306"/>
      <c r="N274" s="303"/>
      <c r="P274" s="259"/>
      <c r="R274" s="350"/>
      <c r="S274" s="350"/>
      <c r="T274" s="350"/>
      <c r="U274" s="350"/>
      <c r="V274" s="350"/>
    </row>
    <row r="275" spans="13:22" s="147" customFormat="1" x14ac:dyDescent="0.25">
      <c r="M275" s="306"/>
      <c r="N275" s="303"/>
      <c r="P275" s="259"/>
      <c r="R275" s="350"/>
      <c r="S275" s="350"/>
      <c r="T275" s="350"/>
      <c r="U275" s="350"/>
      <c r="V275" s="350"/>
    </row>
    <row r="276" spans="13:22" s="147" customFormat="1" x14ac:dyDescent="0.25">
      <c r="M276" s="306"/>
      <c r="N276" s="303"/>
      <c r="P276" s="259"/>
      <c r="R276" s="350"/>
      <c r="S276" s="350"/>
      <c r="T276" s="350"/>
      <c r="U276" s="350"/>
      <c r="V276" s="350"/>
    </row>
    <row r="277" spans="13:22" s="147" customFormat="1" x14ac:dyDescent="0.25">
      <c r="M277" s="306"/>
      <c r="N277" s="303"/>
      <c r="P277" s="259"/>
      <c r="R277" s="350"/>
      <c r="S277" s="350"/>
      <c r="T277" s="350"/>
      <c r="U277" s="350"/>
      <c r="V277" s="350"/>
    </row>
    <row r="278" spans="13:22" s="147" customFormat="1" x14ac:dyDescent="0.25">
      <c r="M278" s="306"/>
      <c r="N278" s="303"/>
      <c r="P278" s="259"/>
      <c r="R278" s="350"/>
      <c r="S278" s="350"/>
      <c r="T278" s="350"/>
      <c r="U278" s="350"/>
      <c r="V278" s="350"/>
    </row>
    <row r="279" spans="13:22" s="147" customFormat="1" x14ac:dyDescent="0.25">
      <c r="M279" s="306"/>
      <c r="N279" s="303"/>
      <c r="P279" s="259"/>
      <c r="R279" s="350"/>
      <c r="S279" s="350"/>
      <c r="T279" s="350"/>
      <c r="U279" s="350"/>
      <c r="V279" s="350"/>
    </row>
    <row r="280" spans="13:22" s="147" customFormat="1" x14ac:dyDescent="0.25">
      <c r="M280" s="306"/>
      <c r="N280" s="303"/>
      <c r="P280" s="259"/>
      <c r="R280" s="350"/>
      <c r="S280" s="350"/>
      <c r="T280" s="350"/>
      <c r="U280" s="350"/>
      <c r="V280" s="350"/>
    </row>
    <row r="281" spans="13:22" s="147" customFormat="1" x14ac:dyDescent="0.25">
      <c r="M281" s="306"/>
      <c r="N281" s="303"/>
      <c r="P281" s="259"/>
      <c r="R281" s="350"/>
      <c r="S281" s="350"/>
      <c r="T281" s="350"/>
      <c r="U281" s="350"/>
      <c r="V281" s="350"/>
    </row>
    <row r="282" spans="13:22" s="147" customFormat="1" x14ac:dyDescent="0.25">
      <c r="M282" s="306"/>
      <c r="N282" s="303"/>
      <c r="P282" s="259"/>
      <c r="R282" s="350"/>
      <c r="S282" s="350"/>
      <c r="T282" s="350"/>
      <c r="U282" s="350"/>
      <c r="V282" s="350"/>
    </row>
    <row r="283" spans="13:22" s="147" customFormat="1" x14ac:dyDescent="0.25">
      <c r="M283" s="306"/>
      <c r="N283" s="303"/>
      <c r="P283" s="259"/>
      <c r="R283" s="350"/>
      <c r="S283" s="350"/>
      <c r="T283" s="350"/>
      <c r="U283" s="350"/>
      <c r="V283" s="350"/>
    </row>
    <row r="284" spans="13:22" s="147" customFormat="1" x14ac:dyDescent="0.25">
      <c r="M284" s="306"/>
      <c r="N284" s="303"/>
      <c r="P284" s="259"/>
      <c r="R284" s="350"/>
      <c r="S284" s="350"/>
      <c r="T284" s="350"/>
      <c r="U284" s="350"/>
      <c r="V284" s="350"/>
    </row>
    <row r="285" spans="13:22" s="147" customFormat="1" x14ac:dyDescent="0.25">
      <c r="M285" s="306"/>
      <c r="N285" s="303"/>
      <c r="P285" s="259"/>
      <c r="R285" s="350"/>
      <c r="S285" s="350"/>
      <c r="T285" s="350"/>
      <c r="U285" s="350"/>
      <c r="V285" s="350"/>
    </row>
    <row r="286" spans="13:22" s="147" customFormat="1" x14ac:dyDescent="0.25">
      <c r="M286" s="306"/>
      <c r="N286" s="303"/>
      <c r="P286" s="259"/>
      <c r="R286" s="350"/>
      <c r="S286" s="350"/>
      <c r="T286" s="350"/>
      <c r="U286" s="350"/>
      <c r="V286" s="350"/>
    </row>
    <row r="287" spans="13:22" s="147" customFormat="1" x14ac:dyDescent="0.25">
      <c r="M287" s="306"/>
      <c r="N287" s="303"/>
      <c r="P287" s="259"/>
      <c r="R287" s="350"/>
      <c r="S287" s="350"/>
      <c r="T287" s="350"/>
      <c r="U287" s="350"/>
      <c r="V287" s="350"/>
    </row>
    <row r="288" spans="13:22" s="147" customFormat="1" x14ac:dyDescent="0.25">
      <c r="M288" s="306"/>
      <c r="N288" s="303"/>
      <c r="P288" s="259"/>
      <c r="R288" s="350"/>
      <c r="S288" s="350"/>
      <c r="T288" s="350"/>
      <c r="U288" s="350"/>
      <c r="V288" s="350"/>
    </row>
    <row r="289" spans="13:22" s="147" customFormat="1" x14ac:dyDescent="0.25">
      <c r="M289" s="306"/>
      <c r="N289" s="303"/>
      <c r="P289" s="259"/>
      <c r="R289" s="350"/>
      <c r="S289" s="350"/>
      <c r="T289" s="350"/>
      <c r="U289" s="350"/>
      <c r="V289" s="350"/>
    </row>
    <row r="290" spans="13:22" s="147" customFormat="1" x14ac:dyDescent="0.25">
      <c r="M290" s="306"/>
      <c r="N290" s="303"/>
      <c r="P290" s="259"/>
      <c r="R290" s="350"/>
      <c r="S290" s="350"/>
      <c r="T290" s="350"/>
      <c r="U290" s="350"/>
      <c r="V290" s="350"/>
    </row>
    <row r="291" spans="13:22" s="147" customFormat="1" x14ac:dyDescent="0.25">
      <c r="M291" s="306"/>
      <c r="N291" s="303"/>
      <c r="P291" s="259"/>
      <c r="R291" s="350"/>
      <c r="S291" s="350"/>
      <c r="T291" s="350"/>
      <c r="U291" s="350"/>
      <c r="V291" s="350"/>
    </row>
    <row r="292" spans="13:22" s="147" customFormat="1" x14ac:dyDescent="0.25">
      <c r="M292" s="306"/>
      <c r="N292" s="303"/>
      <c r="P292" s="259"/>
      <c r="R292" s="350"/>
      <c r="S292" s="350"/>
      <c r="T292" s="350"/>
      <c r="U292" s="350"/>
      <c r="V292" s="350"/>
    </row>
    <row r="293" spans="13:22" s="147" customFormat="1" x14ac:dyDescent="0.25">
      <c r="M293" s="306"/>
      <c r="N293" s="303"/>
      <c r="P293" s="259"/>
      <c r="R293" s="350"/>
      <c r="S293" s="350"/>
      <c r="T293" s="350"/>
      <c r="U293" s="350"/>
      <c r="V293" s="350"/>
    </row>
    <row r="294" spans="13:22" s="147" customFormat="1" x14ac:dyDescent="0.25">
      <c r="M294" s="306"/>
      <c r="N294" s="303"/>
      <c r="P294" s="259"/>
      <c r="R294" s="350"/>
      <c r="S294" s="350"/>
      <c r="T294" s="350"/>
      <c r="U294" s="350"/>
      <c r="V294" s="350"/>
    </row>
    <row r="295" spans="13:22" s="147" customFormat="1" x14ac:dyDescent="0.25">
      <c r="M295" s="306"/>
      <c r="N295" s="303"/>
      <c r="P295" s="259"/>
      <c r="R295" s="350"/>
      <c r="S295" s="350"/>
      <c r="T295" s="350"/>
      <c r="U295" s="350"/>
      <c r="V295" s="350"/>
    </row>
    <row r="296" spans="13:22" s="147" customFormat="1" x14ac:dyDescent="0.25">
      <c r="M296" s="306"/>
      <c r="N296" s="303"/>
      <c r="P296" s="259"/>
      <c r="R296" s="350"/>
      <c r="S296" s="350"/>
      <c r="T296" s="350"/>
      <c r="U296" s="350"/>
      <c r="V296" s="350"/>
    </row>
    <row r="297" spans="13:22" s="147" customFormat="1" x14ac:dyDescent="0.25">
      <c r="M297" s="306"/>
      <c r="N297" s="303"/>
      <c r="P297" s="259"/>
      <c r="R297" s="350"/>
      <c r="S297" s="350"/>
      <c r="T297" s="350"/>
      <c r="U297" s="350"/>
      <c r="V297" s="350"/>
    </row>
    <row r="298" spans="13:22" s="147" customFormat="1" x14ac:dyDescent="0.25">
      <c r="M298" s="306"/>
      <c r="N298" s="303"/>
      <c r="P298" s="259"/>
      <c r="R298" s="350"/>
      <c r="S298" s="350"/>
      <c r="T298" s="350"/>
      <c r="U298" s="350"/>
      <c r="V298" s="350"/>
    </row>
    <row r="299" spans="13:22" s="147" customFormat="1" x14ac:dyDescent="0.25">
      <c r="M299" s="306"/>
      <c r="N299" s="303"/>
      <c r="P299" s="259"/>
      <c r="R299" s="350"/>
      <c r="S299" s="350"/>
      <c r="T299" s="350"/>
      <c r="U299" s="350"/>
      <c r="V299" s="350"/>
    </row>
    <row r="300" spans="13:22" s="147" customFormat="1" x14ac:dyDescent="0.25">
      <c r="M300" s="306"/>
      <c r="N300" s="303"/>
      <c r="P300" s="259"/>
      <c r="R300" s="350"/>
      <c r="S300" s="350"/>
      <c r="T300" s="350"/>
      <c r="U300" s="350"/>
      <c r="V300" s="350"/>
    </row>
    <row r="301" spans="13:22" s="147" customFormat="1" x14ac:dyDescent="0.25">
      <c r="M301" s="306"/>
      <c r="N301" s="303"/>
      <c r="P301" s="259"/>
      <c r="R301" s="350"/>
      <c r="S301" s="350"/>
      <c r="T301" s="350"/>
      <c r="U301" s="350"/>
      <c r="V301" s="350"/>
    </row>
    <row r="302" spans="13:22" s="147" customFormat="1" x14ac:dyDescent="0.25">
      <c r="M302" s="306"/>
      <c r="N302" s="303"/>
      <c r="P302" s="259"/>
      <c r="R302" s="350"/>
      <c r="S302" s="350"/>
      <c r="T302" s="350"/>
      <c r="U302" s="350"/>
      <c r="V302" s="350"/>
    </row>
    <row r="303" spans="13:22" s="147" customFormat="1" x14ac:dyDescent="0.25">
      <c r="M303" s="306"/>
      <c r="N303" s="303"/>
      <c r="P303" s="259"/>
      <c r="R303" s="350"/>
      <c r="S303" s="350"/>
      <c r="T303" s="350"/>
      <c r="U303" s="350"/>
      <c r="V303" s="350"/>
    </row>
    <row r="304" spans="13:22" s="147" customFormat="1" x14ac:dyDescent="0.25">
      <c r="M304" s="306"/>
      <c r="N304" s="303"/>
      <c r="P304" s="259"/>
      <c r="R304" s="350"/>
      <c r="S304" s="350"/>
      <c r="T304" s="350"/>
      <c r="U304" s="350"/>
      <c r="V304" s="350"/>
    </row>
    <row r="305" spans="13:22" s="147" customFormat="1" x14ac:dyDescent="0.25">
      <c r="M305" s="306"/>
      <c r="N305" s="303"/>
      <c r="P305" s="259"/>
      <c r="R305" s="350"/>
      <c r="S305" s="350"/>
      <c r="T305" s="350"/>
      <c r="U305" s="350"/>
      <c r="V305" s="350"/>
    </row>
    <row r="306" spans="13:22" s="147" customFormat="1" x14ac:dyDescent="0.25">
      <c r="M306" s="306"/>
      <c r="N306" s="303"/>
      <c r="P306" s="259"/>
      <c r="R306" s="350"/>
      <c r="S306" s="350"/>
      <c r="T306" s="350"/>
      <c r="U306" s="350"/>
      <c r="V306" s="350"/>
    </row>
    <row r="307" spans="13:22" s="147" customFormat="1" x14ac:dyDescent="0.25">
      <c r="M307" s="306"/>
      <c r="N307" s="303"/>
      <c r="P307" s="259"/>
      <c r="R307" s="350"/>
      <c r="S307" s="350"/>
      <c r="T307" s="350"/>
      <c r="U307" s="350"/>
      <c r="V307" s="350"/>
    </row>
    <row r="308" spans="13:22" s="147" customFormat="1" x14ac:dyDescent="0.25">
      <c r="M308" s="306"/>
      <c r="N308" s="303"/>
      <c r="P308" s="259"/>
      <c r="R308" s="350"/>
      <c r="S308" s="350"/>
      <c r="T308" s="350"/>
      <c r="U308" s="350"/>
      <c r="V308" s="350"/>
    </row>
    <row r="309" spans="13:22" s="147" customFormat="1" x14ac:dyDescent="0.25">
      <c r="M309" s="306"/>
      <c r="N309" s="303"/>
      <c r="P309" s="259"/>
      <c r="R309" s="350"/>
      <c r="S309" s="350"/>
      <c r="T309" s="350"/>
      <c r="U309" s="350"/>
      <c r="V309" s="350"/>
    </row>
    <row r="310" spans="13:22" s="147" customFormat="1" x14ac:dyDescent="0.25">
      <c r="M310" s="306"/>
      <c r="N310" s="303"/>
      <c r="P310" s="259"/>
      <c r="R310" s="350"/>
      <c r="S310" s="350"/>
      <c r="T310" s="350"/>
      <c r="U310" s="350"/>
      <c r="V310" s="350"/>
    </row>
    <row r="311" spans="13:22" s="147" customFormat="1" x14ac:dyDescent="0.25">
      <c r="M311" s="306"/>
      <c r="N311" s="303"/>
      <c r="P311" s="259"/>
      <c r="R311" s="350"/>
      <c r="S311" s="350"/>
      <c r="T311" s="350"/>
      <c r="U311" s="350"/>
      <c r="V311" s="350"/>
    </row>
    <row r="312" spans="13:22" s="147" customFormat="1" x14ac:dyDescent="0.25">
      <c r="M312" s="306"/>
      <c r="N312" s="303"/>
      <c r="P312" s="259"/>
      <c r="R312" s="350"/>
      <c r="S312" s="350"/>
      <c r="T312" s="350"/>
      <c r="U312" s="350"/>
      <c r="V312" s="350"/>
    </row>
    <row r="313" spans="13:22" s="147" customFormat="1" x14ac:dyDescent="0.25">
      <c r="M313" s="306"/>
      <c r="N313" s="303"/>
      <c r="P313" s="259"/>
      <c r="R313" s="350"/>
      <c r="S313" s="350"/>
      <c r="T313" s="350"/>
      <c r="U313" s="350"/>
      <c r="V313" s="350"/>
    </row>
    <row r="314" spans="13:22" s="147" customFormat="1" x14ac:dyDescent="0.25">
      <c r="M314" s="306"/>
      <c r="N314" s="303"/>
      <c r="P314" s="259"/>
      <c r="R314" s="350"/>
      <c r="S314" s="350"/>
      <c r="T314" s="350"/>
      <c r="U314" s="350"/>
      <c r="V314" s="350"/>
    </row>
    <row r="315" spans="13:22" s="147" customFormat="1" x14ac:dyDescent="0.25">
      <c r="M315" s="306"/>
      <c r="N315" s="303"/>
      <c r="P315" s="259"/>
      <c r="R315" s="350"/>
      <c r="S315" s="350"/>
      <c r="T315" s="350"/>
      <c r="U315" s="350"/>
      <c r="V315" s="350"/>
    </row>
    <row r="316" spans="13:22" s="147" customFormat="1" x14ac:dyDescent="0.25">
      <c r="M316" s="306"/>
      <c r="N316" s="303"/>
      <c r="P316" s="259"/>
      <c r="R316" s="350"/>
      <c r="S316" s="350"/>
      <c r="T316" s="350"/>
      <c r="U316" s="350"/>
      <c r="V316" s="350"/>
    </row>
    <row r="317" spans="13:22" s="147" customFormat="1" x14ac:dyDescent="0.25">
      <c r="M317" s="306"/>
      <c r="N317" s="303"/>
      <c r="P317" s="259"/>
      <c r="R317" s="350"/>
      <c r="S317" s="350"/>
      <c r="T317" s="350"/>
      <c r="U317" s="350"/>
      <c r="V317" s="350"/>
    </row>
    <row r="318" spans="13:22" s="147" customFormat="1" x14ac:dyDescent="0.25">
      <c r="M318" s="306"/>
      <c r="N318" s="303"/>
      <c r="P318" s="259"/>
      <c r="R318" s="350"/>
      <c r="S318" s="350"/>
      <c r="T318" s="350"/>
      <c r="U318" s="350"/>
      <c r="V318" s="350"/>
    </row>
    <row r="319" spans="13:22" s="147" customFormat="1" x14ac:dyDescent="0.25">
      <c r="M319" s="306"/>
      <c r="N319" s="303"/>
      <c r="P319" s="259"/>
      <c r="R319" s="350"/>
      <c r="S319" s="350"/>
      <c r="T319" s="350"/>
      <c r="U319" s="350"/>
      <c r="V319" s="350"/>
    </row>
    <row r="320" spans="13:22" s="147" customFormat="1" x14ac:dyDescent="0.25">
      <c r="M320" s="306"/>
      <c r="N320" s="303"/>
      <c r="P320" s="259"/>
      <c r="R320" s="350"/>
      <c r="S320" s="350"/>
      <c r="T320" s="350"/>
      <c r="U320" s="350"/>
      <c r="V320" s="350"/>
    </row>
    <row r="321" spans="13:22" s="147" customFormat="1" x14ac:dyDescent="0.25">
      <c r="M321" s="306"/>
      <c r="N321" s="303"/>
      <c r="P321" s="259"/>
      <c r="R321" s="350"/>
      <c r="S321" s="350"/>
      <c r="T321" s="350"/>
      <c r="U321" s="350"/>
      <c r="V321" s="350"/>
    </row>
    <row r="322" spans="13:22" s="147" customFormat="1" x14ac:dyDescent="0.25">
      <c r="M322" s="306"/>
      <c r="N322" s="303"/>
      <c r="P322" s="259"/>
      <c r="R322" s="350"/>
      <c r="S322" s="350"/>
      <c r="T322" s="350"/>
      <c r="U322" s="350"/>
      <c r="V322" s="350"/>
    </row>
    <row r="323" spans="13:22" s="147" customFormat="1" x14ac:dyDescent="0.25">
      <c r="M323" s="306"/>
      <c r="N323" s="303"/>
      <c r="P323" s="259"/>
      <c r="R323" s="350"/>
      <c r="S323" s="350"/>
      <c r="T323" s="350"/>
      <c r="U323" s="350"/>
      <c r="V323" s="350"/>
    </row>
    <row r="324" spans="13:22" s="147" customFormat="1" x14ac:dyDescent="0.25">
      <c r="M324" s="306"/>
      <c r="N324" s="303"/>
      <c r="P324" s="259"/>
      <c r="R324" s="350"/>
      <c r="S324" s="350"/>
      <c r="T324" s="350"/>
      <c r="U324" s="350"/>
      <c r="V324" s="350"/>
    </row>
    <row r="325" spans="13:22" s="147" customFormat="1" x14ac:dyDescent="0.25">
      <c r="M325" s="306"/>
      <c r="N325" s="303"/>
      <c r="P325" s="259"/>
      <c r="R325" s="350"/>
      <c r="S325" s="350"/>
      <c r="T325" s="350"/>
      <c r="U325" s="350"/>
      <c r="V325" s="350"/>
    </row>
    <row r="326" spans="13:22" s="147" customFormat="1" x14ac:dyDescent="0.25">
      <c r="M326" s="306"/>
      <c r="N326" s="303"/>
      <c r="P326" s="259"/>
      <c r="R326" s="350"/>
      <c r="S326" s="350"/>
      <c r="T326" s="350"/>
      <c r="U326" s="350"/>
      <c r="V326" s="350"/>
    </row>
    <row r="327" spans="13:22" s="147" customFormat="1" x14ac:dyDescent="0.25">
      <c r="M327" s="306"/>
      <c r="N327" s="303"/>
      <c r="P327" s="259"/>
      <c r="R327" s="350"/>
      <c r="S327" s="350"/>
      <c r="T327" s="350"/>
      <c r="U327" s="350"/>
      <c r="V327" s="350"/>
    </row>
    <row r="328" spans="13:22" s="147" customFormat="1" x14ac:dyDescent="0.25">
      <c r="M328" s="306"/>
      <c r="N328" s="303"/>
      <c r="P328" s="259"/>
      <c r="R328" s="350"/>
      <c r="S328" s="350"/>
      <c r="T328" s="350"/>
      <c r="U328" s="350"/>
      <c r="V328" s="350"/>
    </row>
    <row r="329" spans="13:22" s="147" customFormat="1" x14ac:dyDescent="0.25">
      <c r="M329" s="306"/>
      <c r="N329" s="303"/>
      <c r="P329" s="259"/>
      <c r="R329" s="350"/>
      <c r="S329" s="350"/>
      <c r="T329" s="350"/>
      <c r="U329" s="350"/>
      <c r="V329" s="350"/>
    </row>
    <row r="330" spans="13:22" s="147" customFormat="1" x14ac:dyDescent="0.25">
      <c r="M330" s="306"/>
      <c r="N330" s="303"/>
      <c r="P330" s="259"/>
      <c r="R330" s="350"/>
      <c r="S330" s="350"/>
      <c r="T330" s="350"/>
      <c r="U330" s="350"/>
      <c r="V330" s="350"/>
    </row>
    <row r="331" spans="13:22" s="147" customFormat="1" x14ac:dyDescent="0.25">
      <c r="M331" s="306"/>
      <c r="N331" s="303"/>
      <c r="P331" s="259"/>
      <c r="R331" s="350"/>
      <c r="S331" s="350"/>
      <c r="T331" s="350"/>
      <c r="U331" s="350"/>
      <c r="V331" s="350"/>
    </row>
    <row r="332" spans="13:22" s="147" customFormat="1" x14ac:dyDescent="0.25">
      <c r="M332" s="306"/>
      <c r="N332" s="303"/>
      <c r="P332" s="259"/>
      <c r="R332" s="350"/>
      <c r="S332" s="350"/>
      <c r="T332" s="350"/>
      <c r="U332" s="350"/>
      <c r="V332" s="350"/>
    </row>
    <row r="333" spans="13:22" s="147" customFormat="1" x14ac:dyDescent="0.25">
      <c r="M333" s="306"/>
      <c r="N333" s="303"/>
      <c r="P333" s="259"/>
      <c r="R333" s="350"/>
      <c r="S333" s="350"/>
      <c r="T333" s="350"/>
      <c r="U333" s="350"/>
      <c r="V333" s="350"/>
    </row>
    <row r="334" spans="13:22" s="147" customFormat="1" x14ac:dyDescent="0.25">
      <c r="M334" s="306"/>
      <c r="N334" s="303"/>
      <c r="P334" s="259"/>
      <c r="R334" s="350"/>
      <c r="S334" s="350"/>
      <c r="T334" s="350"/>
      <c r="U334" s="350"/>
      <c r="V334" s="350"/>
    </row>
    <row r="335" spans="13:22" s="147" customFormat="1" x14ac:dyDescent="0.25">
      <c r="M335" s="306"/>
      <c r="N335" s="303"/>
      <c r="P335" s="259"/>
      <c r="R335" s="350"/>
      <c r="S335" s="350"/>
      <c r="T335" s="350"/>
      <c r="U335" s="350"/>
      <c r="V335" s="350"/>
    </row>
    <row r="336" spans="13:22" s="147" customFormat="1" x14ac:dyDescent="0.25">
      <c r="M336" s="306"/>
      <c r="N336" s="303"/>
      <c r="P336" s="259"/>
      <c r="R336" s="350"/>
      <c r="S336" s="350"/>
      <c r="T336" s="350"/>
      <c r="U336" s="350"/>
      <c r="V336" s="350"/>
    </row>
    <row r="337" spans="13:22" s="147" customFormat="1" x14ac:dyDescent="0.25">
      <c r="M337" s="306"/>
      <c r="N337" s="303"/>
      <c r="P337" s="259"/>
      <c r="R337" s="350"/>
      <c r="S337" s="350"/>
      <c r="T337" s="350"/>
      <c r="U337" s="350"/>
      <c r="V337" s="350"/>
    </row>
    <row r="338" spans="13:22" s="147" customFormat="1" x14ac:dyDescent="0.25">
      <c r="M338" s="306"/>
      <c r="N338" s="303"/>
      <c r="P338" s="259"/>
      <c r="R338" s="350"/>
      <c r="S338" s="350"/>
      <c r="T338" s="350"/>
      <c r="U338" s="350"/>
      <c r="V338" s="350"/>
    </row>
    <row r="339" spans="13:22" s="147" customFormat="1" x14ac:dyDescent="0.25">
      <c r="M339" s="306"/>
      <c r="N339" s="303"/>
      <c r="P339" s="259"/>
      <c r="R339" s="350"/>
      <c r="S339" s="350"/>
      <c r="T339" s="350"/>
      <c r="U339" s="350"/>
      <c r="V339" s="350"/>
    </row>
    <row r="340" spans="13:22" s="147" customFormat="1" x14ac:dyDescent="0.25">
      <c r="M340" s="306"/>
      <c r="N340" s="303"/>
      <c r="P340" s="259"/>
      <c r="R340" s="350"/>
      <c r="S340" s="350"/>
      <c r="T340" s="350"/>
      <c r="U340" s="350"/>
      <c r="V340" s="350"/>
    </row>
    <row r="341" spans="13:22" s="147" customFormat="1" x14ac:dyDescent="0.25">
      <c r="M341" s="306"/>
      <c r="N341" s="303"/>
      <c r="P341" s="259"/>
      <c r="R341" s="350"/>
      <c r="S341" s="350"/>
      <c r="T341" s="350"/>
      <c r="U341" s="350"/>
      <c r="V341" s="350"/>
    </row>
    <row r="342" spans="13:22" s="147" customFormat="1" x14ac:dyDescent="0.25">
      <c r="M342" s="306"/>
      <c r="N342" s="303"/>
      <c r="P342" s="259"/>
      <c r="R342" s="350"/>
      <c r="S342" s="350"/>
      <c r="T342" s="350"/>
      <c r="U342" s="350"/>
      <c r="V342" s="350"/>
    </row>
    <row r="343" spans="13:22" s="147" customFormat="1" x14ac:dyDescent="0.25">
      <c r="M343" s="306"/>
      <c r="N343" s="303"/>
      <c r="P343" s="259"/>
      <c r="R343" s="350"/>
      <c r="S343" s="350"/>
      <c r="T343" s="350"/>
      <c r="U343" s="350"/>
      <c r="V343" s="350"/>
    </row>
    <row r="344" spans="13:22" s="147" customFormat="1" x14ac:dyDescent="0.25">
      <c r="M344" s="306"/>
      <c r="N344" s="303"/>
      <c r="P344" s="259"/>
      <c r="R344" s="350"/>
      <c r="S344" s="350"/>
      <c r="T344" s="350"/>
      <c r="U344" s="350"/>
      <c r="V344" s="350"/>
    </row>
    <row r="345" spans="13:22" s="147" customFormat="1" x14ac:dyDescent="0.25">
      <c r="M345" s="306"/>
      <c r="N345" s="303"/>
      <c r="P345" s="259"/>
      <c r="R345" s="350"/>
      <c r="S345" s="350"/>
      <c r="T345" s="350"/>
      <c r="U345" s="350"/>
      <c r="V345" s="350"/>
    </row>
    <row r="346" spans="13:22" s="147" customFormat="1" x14ac:dyDescent="0.25">
      <c r="M346" s="306"/>
      <c r="N346" s="303"/>
      <c r="P346" s="259"/>
      <c r="R346" s="350"/>
      <c r="S346" s="350"/>
      <c r="T346" s="350"/>
      <c r="U346" s="350"/>
      <c r="V346" s="350"/>
    </row>
    <row r="347" spans="13:22" s="147" customFormat="1" x14ac:dyDescent="0.25">
      <c r="M347" s="306"/>
      <c r="N347" s="303"/>
      <c r="P347" s="259"/>
      <c r="R347" s="350"/>
      <c r="S347" s="350"/>
      <c r="T347" s="350"/>
      <c r="U347" s="350"/>
      <c r="V347" s="350"/>
    </row>
    <row r="348" spans="13:22" s="147" customFormat="1" x14ac:dyDescent="0.25">
      <c r="M348" s="306"/>
      <c r="N348" s="303"/>
      <c r="P348" s="259"/>
      <c r="R348" s="350"/>
      <c r="S348" s="350"/>
      <c r="T348" s="350"/>
      <c r="U348" s="350"/>
      <c r="V348" s="350"/>
    </row>
    <row r="349" spans="13:22" s="147" customFormat="1" x14ac:dyDescent="0.25">
      <c r="M349" s="306"/>
      <c r="N349" s="303"/>
      <c r="P349" s="259"/>
      <c r="R349" s="350"/>
      <c r="S349" s="350"/>
      <c r="T349" s="350"/>
      <c r="U349" s="350"/>
      <c r="V349" s="350"/>
    </row>
    <row r="350" spans="13:22" s="147" customFormat="1" x14ac:dyDescent="0.25">
      <c r="M350" s="306"/>
      <c r="N350" s="303"/>
      <c r="P350" s="259"/>
      <c r="R350" s="350"/>
      <c r="S350" s="350"/>
      <c r="T350" s="350"/>
      <c r="U350" s="350"/>
      <c r="V350" s="350"/>
    </row>
    <row r="351" spans="13:22" s="147" customFormat="1" x14ac:dyDescent="0.25">
      <c r="M351" s="306"/>
      <c r="N351" s="303"/>
      <c r="P351" s="259"/>
      <c r="R351" s="350"/>
      <c r="S351" s="350"/>
      <c r="T351" s="350"/>
      <c r="U351" s="350"/>
      <c r="V351" s="350"/>
    </row>
    <row r="352" spans="13:22" s="147" customFormat="1" x14ac:dyDescent="0.25">
      <c r="M352" s="306"/>
      <c r="N352" s="303"/>
      <c r="P352" s="259"/>
      <c r="R352" s="350"/>
      <c r="S352" s="350"/>
      <c r="T352" s="350"/>
      <c r="U352" s="350"/>
      <c r="V352" s="350"/>
    </row>
    <row r="353" spans="13:22" s="147" customFormat="1" x14ac:dyDescent="0.25">
      <c r="M353" s="306"/>
      <c r="N353" s="303"/>
      <c r="P353" s="259"/>
      <c r="R353" s="350"/>
      <c r="S353" s="350"/>
      <c r="T353" s="350"/>
      <c r="U353" s="350"/>
      <c r="V353" s="350"/>
    </row>
    <row r="354" spans="13:22" s="147" customFormat="1" x14ac:dyDescent="0.25">
      <c r="M354" s="306"/>
      <c r="N354" s="303"/>
      <c r="P354" s="259"/>
      <c r="R354" s="350"/>
      <c r="S354" s="350"/>
      <c r="T354" s="350"/>
      <c r="U354" s="350"/>
      <c r="V354" s="350"/>
    </row>
    <row r="355" spans="13:22" s="147" customFormat="1" x14ac:dyDescent="0.25">
      <c r="M355" s="306"/>
      <c r="N355" s="303"/>
      <c r="P355" s="259"/>
      <c r="R355" s="350"/>
      <c r="S355" s="350"/>
      <c r="T355" s="350"/>
      <c r="U355" s="350"/>
      <c r="V355" s="350"/>
    </row>
    <row r="356" spans="13:22" s="147" customFormat="1" x14ac:dyDescent="0.25">
      <c r="M356" s="306"/>
      <c r="N356" s="303"/>
      <c r="P356" s="259"/>
      <c r="R356" s="350"/>
      <c r="S356" s="350"/>
      <c r="T356" s="350"/>
      <c r="U356" s="350"/>
      <c r="V356" s="350"/>
    </row>
    <row r="357" spans="13:22" s="147" customFormat="1" x14ac:dyDescent="0.25">
      <c r="M357" s="306"/>
      <c r="N357" s="303"/>
      <c r="P357" s="259"/>
      <c r="R357" s="350"/>
      <c r="S357" s="350"/>
      <c r="T357" s="350"/>
      <c r="U357" s="350"/>
      <c r="V357" s="350"/>
    </row>
    <row r="358" spans="13:22" s="147" customFormat="1" x14ac:dyDescent="0.25">
      <c r="M358" s="306"/>
      <c r="N358" s="303"/>
      <c r="P358" s="259"/>
      <c r="R358" s="350"/>
      <c r="S358" s="350"/>
      <c r="T358" s="350"/>
      <c r="U358" s="350"/>
      <c r="V358" s="350"/>
    </row>
    <row r="359" spans="13:22" s="147" customFormat="1" x14ac:dyDescent="0.25">
      <c r="M359" s="306"/>
      <c r="N359" s="303"/>
      <c r="P359" s="259"/>
      <c r="R359" s="350"/>
      <c r="S359" s="350"/>
      <c r="T359" s="350"/>
      <c r="U359" s="350"/>
      <c r="V359" s="350"/>
    </row>
    <row r="360" spans="13:22" s="147" customFormat="1" x14ac:dyDescent="0.25">
      <c r="M360" s="306"/>
      <c r="N360" s="303"/>
      <c r="P360" s="259"/>
      <c r="R360" s="350"/>
      <c r="S360" s="350"/>
      <c r="T360" s="350"/>
      <c r="U360" s="350"/>
      <c r="V360" s="350"/>
    </row>
    <row r="361" spans="13:22" s="147" customFormat="1" x14ac:dyDescent="0.25">
      <c r="M361" s="306"/>
      <c r="N361" s="303"/>
      <c r="P361" s="259"/>
      <c r="R361" s="350"/>
      <c r="S361" s="350"/>
      <c r="T361" s="350"/>
      <c r="U361" s="350"/>
      <c r="V361" s="350"/>
    </row>
    <row r="362" spans="13:22" s="147" customFormat="1" x14ac:dyDescent="0.25">
      <c r="M362" s="306"/>
      <c r="N362" s="303"/>
      <c r="P362" s="259"/>
      <c r="R362" s="350"/>
      <c r="S362" s="350"/>
      <c r="T362" s="350"/>
      <c r="U362" s="350"/>
      <c r="V362" s="350"/>
    </row>
    <row r="363" spans="13:22" s="147" customFormat="1" x14ac:dyDescent="0.25">
      <c r="M363" s="306"/>
      <c r="N363" s="303"/>
      <c r="P363" s="259"/>
      <c r="R363" s="350"/>
      <c r="S363" s="350"/>
      <c r="T363" s="350"/>
      <c r="U363" s="350"/>
      <c r="V363" s="350"/>
    </row>
    <row r="364" spans="13:22" s="147" customFormat="1" x14ac:dyDescent="0.25">
      <c r="M364" s="306"/>
      <c r="N364" s="303"/>
      <c r="P364" s="259"/>
      <c r="R364" s="350"/>
      <c r="S364" s="350"/>
      <c r="T364" s="350"/>
      <c r="U364" s="350"/>
      <c r="V364" s="350"/>
    </row>
    <row r="365" spans="13:22" s="147" customFormat="1" x14ac:dyDescent="0.25">
      <c r="M365" s="306"/>
      <c r="N365" s="303"/>
      <c r="P365" s="259"/>
      <c r="R365" s="350"/>
      <c r="S365" s="350"/>
      <c r="T365" s="350"/>
      <c r="U365" s="350"/>
      <c r="V365" s="350"/>
    </row>
    <row r="366" spans="13:22" s="147" customFormat="1" x14ac:dyDescent="0.25">
      <c r="M366" s="306"/>
      <c r="N366" s="303"/>
      <c r="P366" s="259"/>
      <c r="R366" s="350"/>
      <c r="S366" s="350"/>
      <c r="T366" s="350"/>
      <c r="U366" s="350"/>
      <c r="V366" s="350"/>
    </row>
    <row r="367" spans="13:22" s="147" customFormat="1" x14ac:dyDescent="0.25">
      <c r="M367" s="306"/>
      <c r="N367" s="303"/>
      <c r="P367" s="259"/>
      <c r="R367" s="350"/>
      <c r="S367" s="350"/>
      <c r="T367" s="350"/>
      <c r="U367" s="350"/>
      <c r="V367" s="350"/>
    </row>
    <row r="368" spans="13:22" s="147" customFormat="1" x14ac:dyDescent="0.25">
      <c r="M368" s="306"/>
      <c r="N368" s="303"/>
      <c r="P368" s="259"/>
      <c r="R368" s="350"/>
      <c r="S368" s="350"/>
      <c r="T368" s="350"/>
      <c r="U368" s="350"/>
      <c r="V368" s="350"/>
    </row>
    <row r="369" spans="13:22" s="147" customFormat="1" x14ac:dyDescent="0.25">
      <c r="M369" s="306"/>
      <c r="N369" s="303"/>
      <c r="P369" s="259"/>
      <c r="R369" s="350"/>
      <c r="S369" s="350"/>
      <c r="T369" s="350"/>
      <c r="U369" s="350"/>
      <c r="V369" s="350"/>
    </row>
    <row r="370" spans="13:22" s="147" customFormat="1" x14ac:dyDescent="0.25">
      <c r="M370" s="306"/>
      <c r="N370" s="303"/>
      <c r="P370" s="259"/>
      <c r="R370" s="350"/>
      <c r="S370" s="350"/>
      <c r="T370" s="350"/>
      <c r="U370" s="350"/>
      <c r="V370" s="350"/>
    </row>
    <row r="371" spans="13:22" s="147" customFormat="1" x14ac:dyDescent="0.25">
      <c r="M371" s="306"/>
      <c r="N371" s="303"/>
      <c r="P371" s="259"/>
      <c r="R371" s="350"/>
      <c r="S371" s="350"/>
      <c r="T371" s="350"/>
      <c r="U371" s="350"/>
      <c r="V371" s="350"/>
    </row>
    <row r="372" spans="13:22" s="147" customFormat="1" x14ac:dyDescent="0.25">
      <c r="M372" s="306"/>
      <c r="N372" s="303"/>
      <c r="P372" s="259"/>
      <c r="R372" s="350"/>
      <c r="S372" s="350"/>
      <c r="T372" s="350"/>
      <c r="U372" s="350"/>
      <c r="V372" s="350"/>
    </row>
    <row r="373" spans="13:22" s="147" customFormat="1" x14ac:dyDescent="0.25">
      <c r="M373" s="306"/>
      <c r="N373" s="303"/>
      <c r="P373" s="259"/>
      <c r="R373" s="350"/>
      <c r="S373" s="350"/>
      <c r="T373" s="350"/>
      <c r="U373" s="350"/>
      <c r="V373" s="350"/>
    </row>
    <row r="374" spans="13:22" s="147" customFormat="1" x14ac:dyDescent="0.25">
      <c r="M374" s="306"/>
      <c r="N374" s="303"/>
      <c r="P374" s="259"/>
      <c r="R374" s="350"/>
      <c r="S374" s="350"/>
      <c r="T374" s="350"/>
      <c r="U374" s="350"/>
      <c r="V374" s="350"/>
    </row>
    <row r="375" spans="13:22" s="147" customFormat="1" x14ac:dyDescent="0.25">
      <c r="M375" s="306"/>
      <c r="N375" s="303"/>
      <c r="P375" s="259"/>
      <c r="R375" s="350"/>
      <c r="S375" s="350"/>
      <c r="T375" s="350"/>
      <c r="U375" s="350"/>
      <c r="V375" s="350"/>
    </row>
    <row r="376" spans="13:22" s="147" customFormat="1" x14ac:dyDescent="0.25">
      <c r="M376" s="306"/>
      <c r="N376" s="303"/>
      <c r="P376" s="259"/>
      <c r="R376" s="350"/>
      <c r="S376" s="350"/>
      <c r="T376" s="350"/>
      <c r="U376" s="350"/>
      <c r="V376" s="350"/>
    </row>
    <row r="377" spans="13:22" s="147" customFormat="1" x14ac:dyDescent="0.25">
      <c r="M377" s="306"/>
      <c r="N377" s="303"/>
      <c r="P377" s="259"/>
      <c r="R377" s="350"/>
      <c r="S377" s="350"/>
      <c r="T377" s="350"/>
      <c r="U377" s="350"/>
      <c r="V377" s="350"/>
    </row>
    <row r="378" spans="13:22" s="147" customFormat="1" x14ac:dyDescent="0.25">
      <c r="M378" s="306"/>
      <c r="N378" s="303"/>
      <c r="P378" s="259"/>
      <c r="R378" s="350"/>
      <c r="S378" s="350"/>
      <c r="T378" s="350"/>
      <c r="U378" s="350"/>
      <c r="V378" s="350"/>
    </row>
    <row r="379" spans="13:22" s="147" customFormat="1" x14ac:dyDescent="0.25">
      <c r="M379" s="306"/>
      <c r="N379" s="303"/>
      <c r="P379" s="259"/>
      <c r="R379" s="350"/>
      <c r="S379" s="350"/>
      <c r="T379" s="350"/>
      <c r="U379" s="350"/>
      <c r="V379" s="350"/>
    </row>
    <row r="380" spans="13:22" s="147" customFormat="1" x14ac:dyDescent="0.25">
      <c r="M380" s="306"/>
      <c r="N380" s="303"/>
      <c r="P380" s="259"/>
      <c r="R380" s="350"/>
      <c r="S380" s="350"/>
      <c r="T380" s="350"/>
      <c r="U380" s="350"/>
      <c r="V380" s="350"/>
    </row>
    <row r="381" spans="13:22" s="147" customFormat="1" x14ac:dyDescent="0.25">
      <c r="M381" s="306"/>
      <c r="N381" s="303"/>
      <c r="P381" s="259"/>
      <c r="R381" s="350"/>
      <c r="S381" s="350"/>
      <c r="T381" s="350"/>
      <c r="U381" s="350"/>
      <c r="V381" s="350"/>
    </row>
    <row r="382" spans="13:22" s="147" customFormat="1" x14ac:dyDescent="0.25">
      <c r="M382" s="306"/>
      <c r="N382" s="303"/>
      <c r="P382" s="259"/>
      <c r="R382" s="350"/>
      <c r="S382" s="350"/>
      <c r="T382" s="350"/>
      <c r="U382" s="350"/>
      <c r="V382" s="350"/>
    </row>
    <row r="383" spans="13:22" s="147" customFormat="1" x14ac:dyDescent="0.25">
      <c r="M383" s="306"/>
      <c r="N383" s="303"/>
      <c r="P383" s="259"/>
      <c r="R383" s="350"/>
      <c r="S383" s="350"/>
      <c r="T383" s="350"/>
      <c r="U383" s="350"/>
      <c r="V383" s="350"/>
    </row>
    <row r="384" spans="13:22" s="147" customFormat="1" x14ac:dyDescent="0.25">
      <c r="M384" s="306"/>
      <c r="N384" s="303"/>
      <c r="P384" s="259"/>
      <c r="R384" s="350"/>
      <c r="S384" s="350"/>
      <c r="T384" s="350"/>
      <c r="U384" s="350"/>
      <c r="V384" s="350"/>
    </row>
    <row r="385" spans="13:22" s="147" customFormat="1" x14ac:dyDescent="0.25">
      <c r="M385" s="306"/>
      <c r="N385" s="303"/>
      <c r="P385" s="259"/>
      <c r="R385" s="350"/>
      <c r="S385" s="350"/>
      <c r="T385" s="350"/>
      <c r="U385" s="350"/>
      <c r="V385" s="350"/>
    </row>
    <row r="386" spans="13:22" s="147" customFormat="1" x14ac:dyDescent="0.25">
      <c r="M386" s="306"/>
      <c r="N386" s="303"/>
      <c r="P386" s="259"/>
      <c r="R386" s="350"/>
      <c r="S386" s="350"/>
      <c r="T386" s="350"/>
      <c r="U386" s="350"/>
      <c r="V386" s="350"/>
    </row>
    <row r="387" spans="13:22" s="147" customFormat="1" x14ac:dyDescent="0.25">
      <c r="M387" s="306"/>
      <c r="N387" s="303"/>
      <c r="P387" s="259"/>
      <c r="R387" s="350"/>
      <c r="S387" s="350"/>
      <c r="T387" s="350"/>
      <c r="U387" s="350"/>
      <c r="V387" s="350"/>
    </row>
    <row r="388" spans="13:22" s="147" customFormat="1" x14ac:dyDescent="0.25">
      <c r="M388" s="306"/>
      <c r="N388" s="303"/>
      <c r="P388" s="259"/>
      <c r="R388" s="350"/>
      <c r="S388" s="350"/>
      <c r="T388" s="350"/>
      <c r="U388" s="350"/>
      <c r="V388" s="350"/>
    </row>
    <row r="389" spans="13:22" s="147" customFormat="1" x14ac:dyDescent="0.25">
      <c r="M389" s="306"/>
      <c r="N389" s="303"/>
      <c r="P389" s="259"/>
      <c r="R389" s="350"/>
      <c r="S389" s="350"/>
      <c r="T389" s="350"/>
      <c r="U389" s="350"/>
      <c r="V389" s="350"/>
    </row>
    <row r="390" spans="13:22" s="147" customFormat="1" x14ac:dyDescent="0.25">
      <c r="M390" s="306"/>
      <c r="N390" s="303"/>
      <c r="P390" s="259"/>
      <c r="R390" s="350"/>
      <c r="S390" s="350"/>
      <c r="T390" s="350"/>
      <c r="U390" s="350"/>
      <c r="V390" s="350"/>
    </row>
    <row r="391" spans="13:22" s="147" customFormat="1" x14ac:dyDescent="0.25">
      <c r="M391" s="306"/>
      <c r="N391" s="303"/>
      <c r="P391" s="259"/>
      <c r="R391" s="350"/>
      <c r="S391" s="350"/>
      <c r="T391" s="350"/>
      <c r="U391" s="350"/>
      <c r="V391" s="350"/>
    </row>
    <row r="392" spans="13:22" s="147" customFormat="1" x14ac:dyDescent="0.25">
      <c r="M392" s="306"/>
      <c r="N392" s="303"/>
      <c r="P392" s="259"/>
      <c r="R392" s="350"/>
      <c r="S392" s="350"/>
      <c r="T392" s="350"/>
      <c r="U392" s="350"/>
      <c r="V392" s="350"/>
    </row>
    <row r="393" spans="13:22" s="147" customFormat="1" x14ac:dyDescent="0.25">
      <c r="M393" s="306"/>
      <c r="N393" s="303"/>
      <c r="P393" s="259"/>
      <c r="R393" s="350"/>
      <c r="S393" s="350"/>
      <c r="T393" s="350"/>
      <c r="U393" s="350"/>
      <c r="V393" s="350"/>
    </row>
    <row r="394" spans="13:22" s="147" customFormat="1" x14ac:dyDescent="0.25">
      <c r="M394" s="306"/>
      <c r="N394" s="303"/>
      <c r="P394" s="259"/>
      <c r="R394" s="350"/>
      <c r="S394" s="350"/>
      <c r="T394" s="350"/>
      <c r="U394" s="350"/>
      <c r="V394" s="350"/>
    </row>
    <row r="395" spans="13:22" s="147" customFormat="1" x14ac:dyDescent="0.25">
      <c r="M395" s="306"/>
      <c r="N395" s="303"/>
      <c r="P395" s="259"/>
      <c r="R395" s="350"/>
      <c r="S395" s="350"/>
      <c r="T395" s="350"/>
      <c r="U395" s="350"/>
      <c r="V395" s="350"/>
    </row>
    <row r="396" spans="13:22" s="147" customFormat="1" x14ac:dyDescent="0.25">
      <c r="M396" s="306"/>
      <c r="N396" s="303"/>
      <c r="P396" s="259"/>
      <c r="R396" s="350"/>
      <c r="S396" s="350"/>
      <c r="T396" s="350"/>
      <c r="U396" s="350"/>
      <c r="V396" s="350"/>
    </row>
    <row r="397" spans="13:22" s="147" customFormat="1" x14ac:dyDescent="0.25">
      <c r="M397" s="306"/>
      <c r="N397" s="303"/>
      <c r="P397" s="259"/>
      <c r="R397" s="350"/>
      <c r="S397" s="350"/>
      <c r="T397" s="350"/>
      <c r="U397" s="350"/>
      <c r="V397" s="350"/>
    </row>
    <row r="398" spans="13:22" s="147" customFormat="1" x14ac:dyDescent="0.25">
      <c r="M398" s="306"/>
      <c r="N398" s="303"/>
      <c r="P398" s="259"/>
      <c r="R398" s="350"/>
      <c r="S398" s="350"/>
      <c r="T398" s="350"/>
      <c r="U398" s="350"/>
      <c r="V398" s="350"/>
    </row>
    <row r="399" spans="13:22" s="147" customFormat="1" x14ac:dyDescent="0.25">
      <c r="M399" s="306"/>
      <c r="N399" s="303"/>
      <c r="P399" s="259"/>
      <c r="R399" s="350"/>
      <c r="S399" s="350"/>
      <c r="T399" s="350"/>
      <c r="U399" s="350"/>
      <c r="V399" s="350"/>
    </row>
    <row r="400" spans="13:22" s="147" customFormat="1" x14ac:dyDescent="0.25">
      <c r="M400" s="306"/>
      <c r="N400" s="303"/>
      <c r="P400" s="259"/>
      <c r="R400" s="350"/>
      <c r="S400" s="350"/>
      <c r="T400" s="350"/>
      <c r="U400" s="350"/>
      <c r="V400" s="350"/>
    </row>
    <row r="401" spans="13:22" s="147" customFormat="1" x14ac:dyDescent="0.25">
      <c r="M401" s="306"/>
      <c r="N401" s="303"/>
      <c r="P401" s="259"/>
      <c r="R401" s="350"/>
      <c r="S401" s="350"/>
      <c r="T401" s="350"/>
      <c r="U401" s="350"/>
      <c r="V401" s="350"/>
    </row>
    <row r="402" spans="13:22" s="147" customFormat="1" x14ac:dyDescent="0.25">
      <c r="M402" s="306"/>
      <c r="N402" s="303"/>
      <c r="P402" s="259"/>
      <c r="R402" s="350"/>
      <c r="S402" s="350"/>
      <c r="T402" s="350"/>
      <c r="U402" s="350"/>
      <c r="V402" s="350"/>
    </row>
    <row r="403" spans="13:22" s="147" customFormat="1" x14ac:dyDescent="0.25">
      <c r="M403" s="306"/>
      <c r="N403" s="303"/>
      <c r="P403" s="259"/>
      <c r="R403" s="350"/>
      <c r="S403" s="350"/>
      <c r="T403" s="350"/>
      <c r="U403" s="350"/>
      <c r="V403" s="350"/>
    </row>
    <row r="404" spans="13:22" s="147" customFormat="1" x14ac:dyDescent="0.25">
      <c r="M404" s="306"/>
      <c r="N404" s="303"/>
      <c r="P404" s="259"/>
      <c r="R404" s="350"/>
      <c r="S404" s="350"/>
      <c r="T404" s="350"/>
      <c r="U404" s="350"/>
      <c r="V404" s="350"/>
    </row>
    <row r="405" spans="13:22" s="147" customFormat="1" x14ac:dyDescent="0.25">
      <c r="M405" s="306"/>
      <c r="N405" s="303"/>
      <c r="P405" s="259"/>
      <c r="R405" s="350"/>
      <c r="S405" s="350"/>
      <c r="T405" s="350"/>
      <c r="U405" s="350"/>
      <c r="V405" s="350"/>
    </row>
    <row r="406" spans="13:22" s="147" customFormat="1" x14ac:dyDescent="0.25">
      <c r="M406" s="306"/>
      <c r="N406" s="303"/>
      <c r="P406" s="259"/>
      <c r="R406" s="350"/>
      <c r="S406" s="350"/>
      <c r="T406" s="350"/>
      <c r="U406" s="350"/>
      <c r="V406" s="350"/>
    </row>
    <row r="407" spans="13:22" s="147" customFormat="1" x14ac:dyDescent="0.25">
      <c r="M407" s="306"/>
      <c r="N407" s="303"/>
      <c r="P407" s="259"/>
      <c r="R407" s="350"/>
      <c r="S407" s="350"/>
      <c r="T407" s="350"/>
      <c r="U407" s="350"/>
      <c r="V407" s="350"/>
    </row>
    <row r="408" spans="13:22" s="147" customFormat="1" x14ac:dyDescent="0.25">
      <c r="M408" s="306"/>
      <c r="N408" s="303"/>
      <c r="P408" s="259"/>
      <c r="R408" s="350"/>
      <c r="S408" s="350"/>
      <c r="T408" s="350"/>
      <c r="U408" s="350"/>
      <c r="V408" s="350"/>
    </row>
    <row r="409" spans="13:22" s="147" customFormat="1" x14ac:dyDescent="0.25">
      <c r="M409" s="306"/>
      <c r="N409" s="303"/>
      <c r="P409" s="259"/>
      <c r="R409" s="350"/>
      <c r="S409" s="350"/>
      <c r="T409" s="350"/>
      <c r="U409" s="350"/>
      <c r="V409" s="350"/>
    </row>
    <row r="410" spans="13:22" s="147" customFormat="1" x14ac:dyDescent="0.25">
      <c r="M410" s="306"/>
      <c r="N410" s="303"/>
      <c r="P410" s="259"/>
      <c r="R410" s="350"/>
      <c r="S410" s="350"/>
      <c r="T410" s="350"/>
      <c r="U410" s="350"/>
      <c r="V410" s="350"/>
    </row>
    <row r="411" spans="13:22" s="147" customFormat="1" x14ac:dyDescent="0.25">
      <c r="M411" s="306"/>
      <c r="N411" s="303"/>
      <c r="P411" s="259"/>
      <c r="R411" s="350"/>
      <c r="S411" s="350"/>
      <c r="T411" s="350"/>
      <c r="U411" s="350"/>
      <c r="V411" s="350"/>
    </row>
    <row r="412" spans="13:22" s="147" customFormat="1" x14ac:dyDescent="0.25">
      <c r="M412" s="306"/>
      <c r="N412" s="303"/>
      <c r="P412" s="259"/>
      <c r="R412" s="350"/>
      <c r="S412" s="350"/>
      <c r="T412" s="350"/>
      <c r="U412" s="350"/>
      <c r="V412" s="350"/>
    </row>
    <row r="413" spans="13:22" s="147" customFormat="1" x14ac:dyDescent="0.25">
      <c r="M413" s="306"/>
      <c r="N413" s="303"/>
      <c r="P413" s="259"/>
      <c r="R413" s="350"/>
      <c r="S413" s="350"/>
      <c r="T413" s="350"/>
      <c r="U413" s="350"/>
      <c r="V413" s="350"/>
    </row>
    <row r="414" spans="13:22" s="147" customFormat="1" x14ac:dyDescent="0.25">
      <c r="M414" s="306"/>
      <c r="N414" s="303"/>
      <c r="P414" s="259"/>
      <c r="R414" s="350"/>
      <c r="S414" s="350"/>
      <c r="T414" s="350"/>
      <c r="U414" s="350"/>
      <c r="V414" s="350"/>
    </row>
    <row r="415" spans="13:22" s="147" customFormat="1" x14ac:dyDescent="0.25">
      <c r="M415" s="306"/>
      <c r="N415" s="303"/>
      <c r="P415" s="259"/>
      <c r="R415" s="350"/>
      <c r="S415" s="350"/>
      <c r="T415" s="350"/>
      <c r="U415" s="350"/>
      <c r="V415" s="350"/>
    </row>
    <row r="416" spans="13:22" s="147" customFormat="1" x14ac:dyDescent="0.25">
      <c r="M416" s="306"/>
      <c r="N416" s="303"/>
      <c r="P416" s="259"/>
      <c r="R416" s="350"/>
      <c r="S416" s="350"/>
      <c r="T416" s="350"/>
      <c r="U416" s="350"/>
      <c r="V416" s="350"/>
    </row>
    <row r="417" spans="13:22" s="147" customFormat="1" x14ac:dyDescent="0.25">
      <c r="M417" s="306"/>
      <c r="N417" s="303"/>
      <c r="P417" s="259"/>
      <c r="R417" s="350"/>
      <c r="S417" s="350"/>
      <c r="T417" s="350"/>
      <c r="U417" s="350"/>
      <c r="V417" s="350"/>
    </row>
    <row r="418" spans="13:22" s="147" customFormat="1" x14ac:dyDescent="0.25">
      <c r="M418" s="306"/>
      <c r="N418" s="303"/>
      <c r="P418" s="259"/>
      <c r="R418" s="350"/>
      <c r="S418" s="350"/>
      <c r="T418" s="350"/>
      <c r="U418" s="350"/>
      <c r="V418" s="350"/>
    </row>
    <row r="419" spans="13:22" s="147" customFormat="1" x14ac:dyDescent="0.25">
      <c r="M419" s="306"/>
      <c r="N419" s="303"/>
      <c r="P419" s="259"/>
      <c r="R419" s="350"/>
      <c r="S419" s="350"/>
      <c r="T419" s="350"/>
      <c r="U419" s="350"/>
      <c r="V419" s="350"/>
    </row>
    <row r="420" spans="13:22" s="147" customFormat="1" x14ac:dyDescent="0.25">
      <c r="M420" s="306"/>
      <c r="N420" s="303"/>
      <c r="P420" s="259"/>
      <c r="R420" s="350"/>
      <c r="S420" s="350"/>
      <c r="T420" s="350"/>
      <c r="U420" s="350"/>
      <c r="V420" s="350"/>
    </row>
    <row r="421" spans="13:22" s="147" customFormat="1" x14ac:dyDescent="0.25">
      <c r="M421" s="306"/>
      <c r="N421" s="303"/>
      <c r="P421" s="259"/>
      <c r="R421" s="350"/>
      <c r="S421" s="350"/>
      <c r="T421" s="350"/>
      <c r="U421" s="350"/>
      <c r="V421" s="350"/>
    </row>
    <row r="422" spans="13:22" s="147" customFormat="1" x14ac:dyDescent="0.25">
      <c r="M422" s="306"/>
      <c r="N422" s="303"/>
      <c r="P422" s="259"/>
      <c r="R422" s="350"/>
      <c r="S422" s="350"/>
      <c r="T422" s="350"/>
      <c r="U422" s="350"/>
      <c r="V422" s="350"/>
    </row>
    <row r="423" spans="13:22" s="147" customFormat="1" x14ac:dyDescent="0.25">
      <c r="M423" s="306"/>
      <c r="N423" s="303"/>
      <c r="P423" s="259"/>
      <c r="R423" s="350"/>
      <c r="S423" s="350"/>
      <c r="T423" s="350"/>
      <c r="U423" s="350"/>
      <c r="V423" s="350"/>
    </row>
    <row r="424" spans="13:22" s="147" customFormat="1" x14ac:dyDescent="0.25">
      <c r="M424" s="306"/>
      <c r="N424" s="303"/>
      <c r="P424" s="259"/>
      <c r="R424" s="350"/>
      <c r="S424" s="350"/>
      <c r="T424" s="350"/>
      <c r="U424" s="350"/>
      <c r="V424" s="350"/>
    </row>
    <row r="425" spans="13:22" s="147" customFormat="1" x14ac:dyDescent="0.25">
      <c r="M425" s="306"/>
      <c r="N425" s="303"/>
      <c r="P425" s="259"/>
      <c r="R425" s="350"/>
      <c r="S425" s="350"/>
      <c r="T425" s="350"/>
      <c r="U425" s="350"/>
      <c r="V425" s="350"/>
    </row>
    <row r="426" spans="13:22" s="147" customFormat="1" x14ac:dyDescent="0.25">
      <c r="M426" s="306"/>
      <c r="N426" s="303"/>
      <c r="P426" s="259"/>
      <c r="R426" s="350"/>
      <c r="S426" s="350"/>
      <c r="T426" s="350"/>
      <c r="U426" s="350"/>
      <c r="V426" s="350"/>
    </row>
    <row r="427" spans="13:22" s="147" customFormat="1" x14ac:dyDescent="0.25">
      <c r="M427" s="306"/>
      <c r="N427" s="303"/>
      <c r="P427" s="259"/>
      <c r="R427" s="350"/>
      <c r="S427" s="350"/>
      <c r="T427" s="350"/>
      <c r="U427" s="350"/>
      <c r="V427" s="350"/>
    </row>
    <row r="428" spans="13:22" s="147" customFormat="1" x14ac:dyDescent="0.25">
      <c r="M428" s="306"/>
      <c r="N428" s="303"/>
      <c r="P428" s="259"/>
      <c r="R428" s="350"/>
      <c r="S428" s="350"/>
      <c r="T428" s="350"/>
      <c r="U428" s="350"/>
      <c r="V428" s="350"/>
    </row>
    <row r="429" spans="13:22" s="147" customFormat="1" x14ac:dyDescent="0.25">
      <c r="M429" s="306"/>
      <c r="N429" s="303"/>
      <c r="P429" s="259"/>
      <c r="R429" s="350"/>
      <c r="S429" s="350"/>
      <c r="T429" s="350"/>
      <c r="U429" s="350"/>
      <c r="V429" s="350"/>
    </row>
    <row r="430" spans="13:22" s="147" customFormat="1" x14ac:dyDescent="0.25">
      <c r="M430" s="306"/>
      <c r="N430" s="303"/>
      <c r="P430" s="259"/>
      <c r="R430" s="350"/>
      <c r="S430" s="350"/>
      <c r="T430" s="350"/>
      <c r="U430" s="350"/>
      <c r="V430" s="350"/>
    </row>
    <row r="431" spans="13:22" s="147" customFormat="1" x14ac:dyDescent="0.25">
      <c r="M431" s="306"/>
      <c r="N431" s="303"/>
      <c r="P431" s="259"/>
      <c r="R431" s="350"/>
      <c r="S431" s="350"/>
      <c r="T431" s="350"/>
      <c r="U431" s="350"/>
      <c r="V431" s="350"/>
    </row>
    <row r="432" spans="13:22" s="147" customFormat="1" x14ac:dyDescent="0.25">
      <c r="M432" s="306"/>
      <c r="N432" s="303"/>
      <c r="P432" s="259"/>
      <c r="R432" s="350"/>
      <c r="S432" s="350"/>
      <c r="T432" s="350"/>
      <c r="U432" s="350"/>
      <c r="V432" s="350"/>
    </row>
    <row r="433" spans="13:22" s="147" customFormat="1" x14ac:dyDescent="0.25">
      <c r="M433" s="306"/>
      <c r="N433" s="303"/>
      <c r="P433" s="259"/>
      <c r="R433" s="350"/>
      <c r="S433" s="350"/>
      <c r="T433" s="350"/>
      <c r="U433" s="350"/>
      <c r="V433" s="350"/>
    </row>
    <row r="434" spans="13:22" s="147" customFormat="1" x14ac:dyDescent="0.25">
      <c r="M434" s="306"/>
      <c r="N434" s="303"/>
      <c r="P434" s="259"/>
      <c r="R434" s="350"/>
      <c r="S434" s="350"/>
      <c r="T434" s="350"/>
      <c r="U434" s="350"/>
      <c r="V434" s="350"/>
    </row>
    <row r="435" spans="13:22" s="147" customFormat="1" x14ac:dyDescent="0.25">
      <c r="M435" s="306"/>
      <c r="N435" s="303"/>
      <c r="P435" s="259"/>
      <c r="R435" s="350"/>
      <c r="S435" s="350"/>
      <c r="T435" s="350"/>
      <c r="U435" s="350"/>
      <c r="V435" s="350"/>
    </row>
    <row r="436" spans="13:22" s="147" customFormat="1" x14ac:dyDescent="0.25">
      <c r="M436" s="306"/>
      <c r="N436" s="303"/>
      <c r="P436" s="259"/>
      <c r="R436" s="350"/>
      <c r="S436" s="350"/>
      <c r="T436" s="350"/>
      <c r="U436" s="350"/>
      <c r="V436" s="350"/>
    </row>
    <row r="437" spans="13:22" s="147" customFormat="1" x14ac:dyDescent="0.25">
      <c r="M437" s="306"/>
      <c r="N437" s="303"/>
      <c r="P437" s="259"/>
      <c r="R437" s="350"/>
      <c r="S437" s="350"/>
      <c r="T437" s="350"/>
      <c r="U437" s="350"/>
      <c r="V437" s="350"/>
    </row>
    <row r="438" spans="13:22" s="147" customFormat="1" x14ac:dyDescent="0.25">
      <c r="M438" s="306"/>
      <c r="N438" s="303"/>
      <c r="P438" s="259"/>
      <c r="R438" s="350"/>
      <c r="S438" s="350"/>
      <c r="T438" s="350"/>
      <c r="U438" s="350"/>
      <c r="V438" s="350"/>
    </row>
    <row r="439" spans="13:22" s="147" customFormat="1" x14ac:dyDescent="0.25">
      <c r="M439" s="306"/>
      <c r="N439" s="303"/>
      <c r="P439" s="259"/>
      <c r="R439" s="350"/>
      <c r="S439" s="350"/>
      <c r="T439" s="350"/>
      <c r="U439" s="350"/>
      <c r="V439" s="350"/>
    </row>
    <row r="440" spans="13:22" s="147" customFormat="1" x14ac:dyDescent="0.25">
      <c r="M440" s="306"/>
      <c r="N440" s="303"/>
      <c r="P440" s="259"/>
      <c r="R440" s="350"/>
      <c r="S440" s="350"/>
      <c r="T440" s="350"/>
      <c r="U440" s="350"/>
      <c r="V440" s="350"/>
    </row>
    <row r="441" spans="13:22" s="147" customFormat="1" x14ac:dyDescent="0.25">
      <c r="M441" s="306"/>
      <c r="N441" s="303"/>
      <c r="P441" s="259"/>
      <c r="R441" s="350"/>
      <c r="S441" s="350"/>
      <c r="T441" s="350"/>
      <c r="U441" s="350"/>
      <c r="V441" s="350"/>
    </row>
    <row r="442" spans="13:22" s="147" customFormat="1" x14ac:dyDescent="0.25">
      <c r="M442" s="306"/>
      <c r="N442" s="303"/>
      <c r="P442" s="259"/>
      <c r="R442" s="350"/>
      <c r="S442" s="350"/>
      <c r="T442" s="350"/>
      <c r="U442" s="350"/>
      <c r="V442" s="350"/>
    </row>
    <row r="443" spans="13:22" s="147" customFormat="1" x14ac:dyDescent="0.25">
      <c r="M443" s="306"/>
      <c r="N443" s="303"/>
      <c r="P443" s="259"/>
      <c r="R443" s="350"/>
      <c r="S443" s="350"/>
      <c r="T443" s="350"/>
      <c r="U443" s="350"/>
      <c r="V443" s="350"/>
    </row>
    <row r="444" spans="13:22" s="147" customFormat="1" x14ac:dyDescent="0.25">
      <c r="M444" s="306"/>
      <c r="N444" s="303"/>
      <c r="P444" s="259"/>
      <c r="R444" s="350"/>
      <c r="S444" s="350"/>
      <c r="T444" s="350"/>
      <c r="U444" s="350"/>
      <c r="V444" s="350"/>
    </row>
    <row r="445" spans="13:22" s="147" customFormat="1" x14ac:dyDescent="0.25">
      <c r="M445" s="306"/>
      <c r="N445" s="303"/>
      <c r="P445" s="259"/>
      <c r="R445" s="350"/>
      <c r="S445" s="350"/>
      <c r="T445" s="350"/>
      <c r="U445" s="350"/>
      <c r="V445" s="350"/>
    </row>
    <row r="446" spans="13:22" s="147" customFormat="1" x14ac:dyDescent="0.25">
      <c r="M446" s="306"/>
      <c r="N446" s="303"/>
      <c r="P446" s="259"/>
      <c r="R446" s="350"/>
      <c r="S446" s="350"/>
      <c r="T446" s="350"/>
      <c r="U446" s="350"/>
      <c r="V446" s="350"/>
    </row>
    <row r="447" spans="13:22" s="147" customFormat="1" x14ac:dyDescent="0.25">
      <c r="M447" s="306"/>
      <c r="N447" s="303"/>
      <c r="P447" s="259"/>
      <c r="R447" s="350"/>
      <c r="S447" s="350"/>
      <c r="T447" s="350"/>
      <c r="U447" s="350"/>
      <c r="V447" s="350"/>
    </row>
    <row r="448" spans="13:22" s="147" customFormat="1" x14ac:dyDescent="0.25">
      <c r="M448" s="306"/>
      <c r="N448" s="303"/>
      <c r="P448" s="259"/>
      <c r="R448" s="350"/>
      <c r="S448" s="350"/>
      <c r="T448" s="350"/>
      <c r="U448" s="350"/>
      <c r="V448" s="350"/>
    </row>
    <row r="449" spans="13:22" s="147" customFormat="1" x14ac:dyDescent="0.25">
      <c r="M449" s="306"/>
      <c r="N449" s="303"/>
      <c r="P449" s="259"/>
      <c r="R449" s="350"/>
      <c r="S449" s="350"/>
      <c r="T449" s="350"/>
      <c r="U449" s="350"/>
      <c r="V449" s="350"/>
    </row>
    <row r="450" spans="13:22" s="147" customFormat="1" x14ac:dyDescent="0.25">
      <c r="M450" s="306"/>
      <c r="N450" s="303"/>
      <c r="P450" s="259"/>
      <c r="R450" s="350"/>
      <c r="S450" s="350"/>
      <c r="T450" s="350"/>
      <c r="U450" s="350"/>
      <c r="V450" s="350"/>
    </row>
    <row r="451" spans="13:22" s="147" customFormat="1" x14ac:dyDescent="0.25">
      <c r="M451" s="306"/>
      <c r="N451" s="303"/>
      <c r="P451" s="259"/>
      <c r="R451" s="350"/>
      <c r="S451" s="350"/>
      <c r="T451" s="350"/>
      <c r="U451" s="350"/>
      <c r="V451" s="350"/>
    </row>
    <row r="452" spans="13:22" s="147" customFormat="1" x14ac:dyDescent="0.25">
      <c r="M452" s="306"/>
      <c r="N452" s="303"/>
      <c r="P452" s="259"/>
      <c r="R452" s="350"/>
      <c r="S452" s="350"/>
      <c r="T452" s="350"/>
      <c r="U452" s="350"/>
      <c r="V452" s="350"/>
    </row>
    <row r="453" spans="13:22" s="147" customFormat="1" x14ac:dyDescent="0.25">
      <c r="M453" s="306"/>
      <c r="N453" s="303"/>
      <c r="P453" s="259"/>
      <c r="R453" s="350"/>
      <c r="S453" s="350"/>
      <c r="T453" s="350"/>
      <c r="U453" s="350"/>
      <c r="V453" s="350"/>
    </row>
    <row r="454" spans="13:22" s="147" customFormat="1" x14ac:dyDescent="0.25">
      <c r="M454" s="306"/>
      <c r="N454" s="303"/>
      <c r="P454" s="259"/>
      <c r="R454" s="350"/>
      <c r="S454" s="350"/>
      <c r="T454" s="350"/>
      <c r="U454" s="350"/>
      <c r="V454" s="350"/>
    </row>
    <row r="455" spans="13:22" s="147" customFormat="1" x14ac:dyDescent="0.25">
      <c r="M455" s="306"/>
      <c r="N455" s="303"/>
      <c r="P455" s="259"/>
      <c r="R455" s="350"/>
      <c r="S455" s="350"/>
      <c r="T455" s="350"/>
      <c r="U455" s="350"/>
      <c r="V455" s="350"/>
    </row>
    <row r="456" spans="13:22" s="147" customFormat="1" x14ac:dyDescent="0.25">
      <c r="M456" s="306"/>
      <c r="N456" s="303"/>
      <c r="P456" s="259"/>
      <c r="R456" s="350"/>
      <c r="S456" s="350"/>
      <c r="T456" s="350"/>
      <c r="U456" s="350"/>
      <c r="V456" s="350"/>
    </row>
    <row r="457" spans="13:22" s="147" customFormat="1" x14ac:dyDescent="0.25">
      <c r="M457" s="306"/>
      <c r="N457" s="303"/>
      <c r="P457" s="259"/>
      <c r="R457" s="350"/>
      <c r="S457" s="350"/>
      <c r="T457" s="350"/>
      <c r="U457" s="350"/>
      <c r="V457" s="350"/>
    </row>
    <row r="458" spans="13:22" s="147" customFormat="1" x14ac:dyDescent="0.25">
      <c r="M458" s="306"/>
      <c r="N458" s="303"/>
      <c r="P458" s="259"/>
      <c r="R458" s="350"/>
      <c r="S458" s="350"/>
      <c r="T458" s="350"/>
      <c r="U458" s="350"/>
      <c r="V458" s="350"/>
    </row>
    <row r="459" spans="13:22" s="147" customFormat="1" x14ac:dyDescent="0.25">
      <c r="M459" s="306"/>
      <c r="N459" s="303"/>
      <c r="P459" s="259"/>
      <c r="R459" s="350"/>
      <c r="S459" s="350"/>
      <c r="T459" s="350"/>
      <c r="U459" s="350"/>
      <c r="V459" s="350"/>
    </row>
    <row r="460" spans="13:22" s="147" customFormat="1" x14ac:dyDescent="0.25">
      <c r="M460" s="306"/>
      <c r="N460" s="303"/>
      <c r="P460" s="259"/>
      <c r="R460" s="350"/>
      <c r="S460" s="350"/>
      <c r="T460" s="350"/>
      <c r="U460" s="350"/>
      <c r="V460" s="350"/>
    </row>
    <row r="461" spans="13:22" s="147" customFormat="1" x14ac:dyDescent="0.25">
      <c r="M461" s="306"/>
      <c r="N461" s="303"/>
      <c r="P461" s="259"/>
      <c r="R461" s="350"/>
      <c r="S461" s="350"/>
      <c r="T461" s="350"/>
      <c r="U461" s="350"/>
      <c r="V461" s="350"/>
    </row>
    <row r="462" spans="13:22" s="147" customFormat="1" x14ac:dyDescent="0.25">
      <c r="M462" s="306"/>
      <c r="N462" s="303"/>
      <c r="P462" s="259"/>
      <c r="R462" s="350"/>
      <c r="S462" s="350"/>
      <c r="T462" s="350"/>
      <c r="U462" s="350"/>
      <c r="V462" s="350"/>
    </row>
    <row r="463" spans="13:22" s="147" customFormat="1" x14ac:dyDescent="0.25">
      <c r="M463" s="306"/>
      <c r="N463" s="303"/>
      <c r="P463" s="259"/>
      <c r="R463" s="350"/>
      <c r="S463" s="350"/>
      <c r="T463" s="350"/>
      <c r="U463" s="350"/>
      <c r="V463" s="350"/>
    </row>
    <row r="464" spans="13:22" s="147" customFormat="1" x14ac:dyDescent="0.25">
      <c r="M464" s="306"/>
      <c r="N464" s="303"/>
      <c r="P464" s="259"/>
      <c r="R464" s="350"/>
      <c r="S464" s="350"/>
      <c r="T464" s="350"/>
      <c r="U464" s="350"/>
      <c r="V464" s="350"/>
    </row>
    <row r="465" spans="13:22" s="147" customFormat="1" x14ac:dyDescent="0.25">
      <c r="M465" s="306"/>
      <c r="N465" s="303"/>
      <c r="P465" s="259"/>
      <c r="R465" s="350"/>
      <c r="S465" s="350"/>
      <c r="T465" s="350"/>
      <c r="U465" s="350"/>
      <c r="V465" s="350"/>
    </row>
    <row r="466" spans="13:22" s="147" customFormat="1" x14ac:dyDescent="0.25">
      <c r="M466" s="306"/>
      <c r="N466" s="303"/>
      <c r="P466" s="259"/>
      <c r="R466" s="350"/>
      <c r="S466" s="350"/>
      <c r="T466" s="350"/>
      <c r="U466" s="350"/>
      <c r="V466" s="350"/>
    </row>
    <row r="467" spans="13:22" s="147" customFormat="1" x14ac:dyDescent="0.25">
      <c r="M467" s="306"/>
      <c r="N467" s="303"/>
      <c r="P467" s="259"/>
      <c r="R467" s="350"/>
      <c r="S467" s="350"/>
      <c r="T467" s="350"/>
      <c r="U467" s="350"/>
      <c r="V467" s="350"/>
    </row>
    <row r="468" spans="13:22" s="147" customFormat="1" x14ac:dyDescent="0.25">
      <c r="M468" s="306"/>
      <c r="N468" s="303"/>
      <c r="P468" s="259"/>
      <c r="R468" s="350"/>
      <c r="S468" s="350"/>
      <c r="T468" s="350"/>
      <c r="U468" s="350"/>
      <c r="V468" s="350"/>
    </row>
    <row r="469" spans="13:22" s="147" customFormat="1" x14ac:dyDescent="0.25">
      <c r="M469" s="306"/>
      <c r="N469" s="303"/>
      <c r="P469" s="259"/>
      <c r="R469" s="350"/>
      <c r="S469" s="350"/>
      <c r="T469" s="350"/>
      <c r="U469" s="350"/>
      <c r="V469" s="350"/>
    </row>
    <row r="470" spans="13:22" s="147" customFormat="1" x14ac:dyDescent="0.25">
      <c r="M470" s="306"/>
      <c r="N470" s="303"/>
      <c r="P470" s="259"/>
      <c r="R470" s="350"/>
      <c r="S470" s="350"/>
      <c r="T470" s="350"/>
      <c r="U470" s="350"/>
      <c r="V470" s="350"/>
    </row>
    <row r="471" spans="13:22" s="147" customFormat="1" x14ac:dyDescent="0.25">
      <c r="M471" s="306"/>
      <c r="N471" s="303"/>
      <c r="P471" s="259"/>
      <c r="R471" s="350"/>
      <c r="S471" s="350"/>
      <c r="T471" s="350"/>
      <c r="U471" s="350"/>
      <c r="V471" s="350"/>
    </row>
    <row r="472" spans="13:22" s="147" customFormat="1" x14ac:dyDescent="0.25">
      <c r="M472" s="306"/>
      <c r="N472" s="303"/>
      <c r="P472" s="259"/>
      <c r="R472" s="350"/>
      <c r="S472" s="350"/>
      <c r="T472" s="350"/>
      <c r="U472" s="350"/>
      <c r="V472" s="350"/>
    </row>
    <row r="473" spans="13:22" s="147" customFormat="1" x14ac:dyDescent="0.25">
      <c r="M473" s="306"/>
      <c r="N473" s="303"/>
      <c r="P473" s="259"/>
      <c r="R473" s="350"/>
      <c r="S473" s="350"/>
      <c r="T473" s="350"/>
      <c r="U473" s="350"/>
      <c r="V473" s="350"/>
    </row>
    <row r="474" spans="13:22" s="147" customFormat="1" x14ac:dyDescent="0.25">
      <c r="M474" s="306"/>
      <c r="N474" s="303"/>
      <c r="P474" s="259"/>
      <c r="R474" s="350"/>
      <c r="S474" s="350"/>
      <c r="T474" s="350"/>
      <c r="U474" s="350"/>
      <c r="V474" s="350"/>
    </row>
    <row r="475" spans="13:22" s="147" customFormat="1" x14ac:dyDescent="0.25">
      <c r="M475" s="306"/>
      <c r="N475" s="303"/>
      <c r="P475" s="259"/>
      <c r="R475" s="350"/>
      <c r="S475" s="350"/>
      <c r="T475" s="350"/>
      <c r="U475" s="350"/>
      <c r="V475" s="350"/>
    </row>
    <row r="476" spans="13:22" s="147" customFormat="1" x14ac:dyDescent="0.25">
      <c r="M476" s="306"/>
      <c r="N476" s="303"/>
      <c r="P476" s="259"/>
      <c r="R476" s="350"/>
      <c r="S476" s="350"/>
      <c r="T476" s="350"/>
      <c r="U476" s="350"/>
      <c r="V476" s="350"/>
    </row>
    <row r="477" spans="13:22" s="147" customFormat="1" x14ac:dyDescent="0.25">
      <c r="M477" s="306"/>
      <c r="N477" s="303"/>
      <c r="P477" s="259"/>
      <c r="R477" s="350"/>
      <c r="S477" s="350"/>
      <c r="T477" s="350"/>
      <c r="U477" s="350"/>
      <c r="V477" s="350"/>
    </row>
    <row r="478" spans="13:22" s="147" customFormat="1" x14ac:dyDescent="0.25">
      <c r="M478" s="306"/>
      <c r="N478" s="303"/>
      <c r="P478" s="259"/>
      <c r="R478" s="350"/>
      <c r="S478" s="350"/>
      <c r="T478" s="350"/>
      <c r="U478" s="350"/>
      <c r="V478" s="350"/>
    </row>
    <row r="479" spans="13:22" s="147" customFormat="1" x14ac:dyDescent="0.25">
      <c r="M479" s="306"/>
      <c r="N479" s="303"/>
      <c r="P479" s="259"/>
      <c r="R479" s="350"/>
      <c r="S479" s="350"/>
      <c r="T479" s="350"/>
      <c r="U479" s="350"/>
      <c r="V479" s="350"/>
    </row>
    <row r="480" spans="13:22" s="147" customFormat="1" x14ac:dyDescent="0.25">
      <c r="M480" s="306"/>
      <c r="N480" s="303"/>
      <c r="P480" s="259"/>
      <c r="R480" s="350"/>
      <c r="S480" s="350"/>
      <c r="T480" s="350"/>
      <c r="U480" s="350"/>
      <c r="V480" s="350"/>
    </row>
    <row r="481" spans="13:22" s="147" customFormat="1" x14ac:dyDescent="0.25">
      <c r="M481" s="306"/>
      <c r="N481" s="303"/>
      <c r="P481" s="259"/>
      <c r="R481" s="350"/>
      <c r="S481" s="350"/>
      <c r="T481" s="350"/>
      <c r="U481" s="350"/>
      <c r="V481" s="350"/>
    </row>
    <row r="482" spans="13:22" s="147" customFormat="1" x14ac:dyDescent="0.25">
      <c r="M482" s="306"/>
      <c r="N482" s="303"/>
      <c r="P482" s="259"/>
      <c r="R482" s="350"/>
      <c r="S482" s="350"/>
      <c r="T482" s="350"/>
      <c r="U482" s="350"/>
      <c r="V482" s="350"/>
    </row>
    <row r="483" spans="13:22" s="147" customFormat="1" x14ac:dyDescent="0.25">
      <c r="M483" s="306"/>
      <c r="N483" s="303"/>
      <c r="P483" s="259"/>
      <c r="R483" s="350"/>
      <c r="S483" s="350"/>
      <c r="T483" s="350"/>
      <c r="U483" s="350"/>
      <c r="V483" s="350"/>
    </row>
    <row r="484" spans="13:22" s="147" customFormat="1" x14ac:dyDescent="0.25">
      <c r="M484" s="306"/>
      <c r="N484" s="303"/>
      <c r="P484" s="259"/>
      <c r="R484" s="350"/>
      <c r="S484" s="350"/>
      <c r="T484" s="350"/>
      <c r="U484" s="350"/>
      <c r="V484" s="350"/>
    </row>
    <row r="485" spans="13:22" s="147" customFormat="1" x14ac:dyDescent="0.25">
      <c r="M485" s="306"/>
      <c r="N485" s="303"/>
      <c r="P485" s="259"/>
      <c r="R485" s="350"/>
      <c r="S485" s="350"/>
      <c r="T485" s="350"/>
      <c r="U485" s="350"/>
      <c r="V485" s="350"/>
    </row>
    <row r="486" spans="13:22" s="147" customFormat="1" x14ac:dyDescent="0.25">
      <c r="M486" s="306"/>
      <c r="N486" s="303"/>
      <c r="P486" s="259"/>
      <c r="R486" s="350"/>
      <c r="S486" s="350"/>
      <c r="T486" s="350"/>
      <c r="U486" s="350"/>
      <c r="V486" s="350"/>
    </row>
    <row r="487" spans="13:22" s="147" customFormat="1" x14ac:dyDescent="0.25">
      <c r="M487" s="306"/>
      <c r="N487" s="303"/>
      <c r="P487" s="259"/>
      <c r="R487" s="350"/>
      <c r="S487" s="350"/>
      <c r="T487" s="350"/>
      <c r="U487" s="350"/>
      <c r="V487" s="350"/>
    </row>
    <row r="488" spans="13:22" s="147" customFormat="1" x14ac:dyDescent="0.25">
      <c r="M488" s="306"/>
      <c r="N488" s="303"/>
      <c r="P488" s="259"/>
      <c r="R488" s="350"/>
      <c r="S488" s="350"/>
      <c r="T488" s="350"/>
      <c r="U488" s="350"/>
      <c r="V488" s="350"/>
    </row>
    <row r="489" spans="13:22" s="147" customFormat="1" x14ac:dyDescent="0.25">
      <c r="M489" s="306"/>
      <c r="N489" s="303"/>
      <c r="P489" s="259"/>
      <c r="R489" s="350"/>
      <c r="S489" s="350"/>
      <c r="T489" s="350"/>
      <c r="U489" s="350"/>
      <c r="V489" s="350"/>
    </row>
    <row r="490" spans="13:22" s="147" customFormat="1" x14ac:dyDescent="0.25">
      <c r="M490" s="306"/>
      <c r="N490" s="303"/>
      <c r="P490" s="259"/>
      <c r="R490" s="350"/>
      <c r="S490" s="350"/>
      <c r="T490" s="350"/>
      <c r="U490" s="350"/>
      <c r="V490" s="350"/>
    </row>
    <row r="491" spans="13:22" s="147" customFormat="1" x14ac:dyDescent="0.25">
      <c r="M491" s="306"/>
      <c r="N491" s="303"/>
      <c r="P491" s="259"/>
      <c r="R491" s="350"/>
      <c r="S491" s="350"/>
      <c r="T491" s="350"/>
      <c r="U491" s="350"/>
      <c r="V491" s="350"/>
    </row>
    <row r="492" spans="13:22" s="147" customFormat="1" x14ac:dyDescent="0.25">
      <c r="M492" s="306"/>
      <c r="N492" s="303"/>
      <c r="P492" s="259"/>
      <c r="R492" s="350"/>
      <c r="S492" s="350"/>
      <c r="T492" s="350"/>
      <c r="U492" s="350"/>
      <c r="V492" s="350"/>
    </row>
    <row r="493" spans="13:22" s="147" customFormat="1" x14ac:dyDescent="0.25">
      <c r="M493" s="306"/>
      <c r="N493" s="303"/>
      <c r="P493" s="259"/>
      <c r="R493" s="350"/>
      <c r="S493" s="350"/>
      <c r="T493" s="350"/>
      <c r="U493" s="350"/>
      <c r="V493" s="350"/>
    </row>
  </sheetData>
  <mergeCells count="8">
    <mergeCell ref="B2:Q2"/>
    <mergeCell ref="B4:Q5"/>
    <mergeCell ref="B6:B7"/>
    <mergeCell ref="D6:E6"/>
    <mergeCell ref="G6:H6"/>
    <mergeCell ref="J6:K6"/>
    <mergeCell ref="O6:O7"/>
    <mergeCell ref="P6:P7"/>
  </mergeCells>
  <pageMargins left="0.7" right="0.7" top="0.75" bottom="0.75" header="0.3" footer="0.3"/>
  <pageSetup paperSize="9" orientation="portrait" r:id="rId1"/>
  <ignoredErrors>
    <ignoredError sqref="E9 P16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61065-DCFE-4ED6-B344-F50C7203E8DD}">
  <dimension ref="A1:AG497"/>
  <sheetViews>
    <sheetView topLeftCell="A7" zoomScale="60" zoomScaleNormal="60" workbookViewId="0">
      <selection activeCell="J21" sqref="J21"/>
    </sheetView>
  </sheetViews>
  <sheetFormatPr baseColWidth="10" defaultColWidth="11.5703125" defaultRowHeight="15.75" x14ac:dyDescent="0.25"/>
  <cols>
    <col min="1" max="1" width="5.7109375" style="443" customWidth="1"/>
    <col min="2" max="2" width="18.7109375" style="443" customWidth="1"/>
    <col min="3" max="3" width="15.7109375" style="443" customWidth="1"/>
    <col min="4" max="11" width="12.7109375" style="443" customWidth="1"/>
    <col min="12" max="12" width="15.7109375" style="443" customWidth="1"/>
    <col min="13" max="14" width="8.7109375" style="443" customWidth="1"/>
    <col min="15" max="15" width="18.7109375" style="443" customWidth="1"/>
    <col min="16" max="16" width="14.7109375" style="443" customWidth="1"/>
    <col min="17" max="17" width="18.7109375" style="440" customWidth="1"/>
    <col min="18" max="18" width="11.5703125" style="440"/>
    <col min="19" max="21" width="12.7109375" style="440" customWidth="1"/>
    <col min="22" max="23" width="14.140625" style="440" customWidth="1"/>
    <col min="24" max="24" width="19.85546875" style="440" customWidth="1"/>
    <col min="25" max="33" width="11.5703125" style="440"/>
    <col min="34" max="16384" width="11.5703125" style="443"/>
  </cols>
  <sheetData>
    <row r="1" spans="1:27" ht="15" customHeight="1" x14ac:dyDescent="0.25">
      <c r="Q1" s="443"/>
      <c r="R1" s="443"/>
      <c r="S1" s="443"/>
      <c r="T1" s="443"/>
      <c r="U1" s="443"/>
      <c r="V1" s="443"/>
      <c r="W1" s="443"/>
      <c r="X1" s="443"/>
      <c r="Y1" s="443"/>
      <c r="Z1" s="443"/>
      <c r="AA1" s="443"/>
    </row>
    <row r="2" spans="1:27" ht="49.9" customHeight="1" x14ac:dyDescent="0.25"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</row>
    <row r="3" spans="1:27" ht="15" customHeight="1" thickBot="1" x14ac:dyDescent="0.3"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Q3" s="443"/>
      <c r="R3" s="443"/>
      <c r="S3" s="443"/>
      <c r="T3" s="443"/>
      <c r="U3" s="443"/>
      <c r="V3" s="443"/>
      <c r="W3" s="443"/>
      <c r="X3" s="443"/>
      <c r="Y3" s="443"/>
      <c r="Z3" s="443"/>
      <c r="AA3" s="443"/>
    </row>
    <row r="4" spans="1:27" ht="40.15" customHeight="1" thickBot="1" x14ac:dyDescent="0.3">
      <c r="B4" s="688" t="s">
        <v>165</v>
      </c>
      <c r="C4" s="689"/>
      <c r="D4" s="689"/>
      <c r="E4" s="689"/>
      <c r="F4" s="689"/>
      <c r="G4" s="689"/>
      <c r="H4" s="689"/>
      <c r="I4" s="689"/>
      <c r="J4" s="689"/>
      <c r="K4" s="545"/>
      <c r="L4" s="31"/>
      <c r="M4" s="688" t="s">
        <v>177</v>
      </c>
      <c r="N4" s="689"/>
      <c r="O4" s="689"/>
      <c r="P4" s="689"/>
      <c r="Q4" s="545"/>
      <c r="R4" s="443"/>
      <c r="S4" s="690" t="s">
        <v>185</v>
      </c>
      <c r="T4" s="691"/>
      <c r="U4" s="691"/>
      <c r="V4" s="691"/>
      <c r="W4" s="691"/>
      <c r="X4" s="692"/>
      <c r="Y4" s="443"/>
      <c r="Z4" s="443"/>
      <c r="AA4" s="443"/>
    </row>
    <row r="5" spans="1:27" ht="10.15" customHeight="1" thickBot="1" x14ac:dyDescent="0.3">
      <c r="B5" s="693"/>
      <c r="C5" s="694"/>
      <c r="D5" s="695"/>
      <c r="E5" s="695"/>
      <c r="F5" s="695"/>
      <c r="G5" s="695"/>
      <c r="H5" s="695"/>
      <c r="I5" s="695"/>
      <c r="J5" s="695"/>
      <c r="K5" s="696"/>
      <c r="L5" s="31"/>
      <c r="M5" s="697"/>
      <c r="N5" s="695"/>
      <c r="O5" s="695"/>
      <c r="P5" s="695"/>
      <c r="Q5" s="696"/>
      <c r="R5" s="443"/>
      <c r="S5" s="693"/>
      <c r="T5" s="694"/>
      <c r="U5" s="694"/>
      <c r="V5" s="694"/>
      <c r="W5" s="694"/>
      <c r="X5" s="698"/>
      <c r="Y5" s="443"/>
      <c r="Z5" s="443"/>
      <c r="AA5" s="443"/>
    </row>
    <row r="6" spans="1:27" ht="19.899999999999999" customHeight="1" x14ac:dyDescent="0.25">
      <c r="B6" s="701" t="s">
        <v>166</v>
      </c>
      <c r="C6" s="707" t="s">
        <v>29</v>
      </c>
      <c r="D6" s="699" t="s">
        <v>167</v>
      </c>
      <c r="E6" s="709"/>
      <c r="F6" s="699" t="s">
        <v>168</v>
      </c>
      <c r="G6" s="709"/>
      <c r="H6" s="703" t="s">
        <v>197</v>
      </c>
      <c r="I6" s="710"/>
      <c r="J6" s="699" t="s">
        <v>169</v>
      </c>
      <c r="K6" s="700"/>
      <c r="L6" s="31"/>
      <c r="M6" s="699" t="s">
        <v>139</v>
      </c>
      <c r="N6" s="700"/>
      <c r="O6" s="333" t="s">
        <v>181</v>
      </c>
      <c r="P6" s="449" t="s">
        <v>182</v>
      </c>
      <c r="Q6" s="324" t="s">
        <v>166</v>
      </c>
      <c r="R6" s="443"/>
      <c r="S6" s="701" t="s">
        <v>186</v>
      </c>
      <c r="T6" s="703" t="s">
        <v>187</v>
      </c>
      <c r="U6" s="704"/>
      <c r="V6" s="324" t="s">
        <v>182</v>
      </c>
      <c r="W6" s="452" t="s">
        <v>190</v>
      </c>
      <c r="X6" s="701" t="s">
        <v>166</v>
      </c>
      <c r="Y6" s="443"/>
      <c r="Z6" s="443"/>
      <c r="AA6" s="443"/>
    </row>
    <row r="7" spans="1:27" ht="19.899999999999999" customHeight="1" thickBot="1" x14ac:dyDescent="0.3">
      <c r="A7" s="441"/>
      <c r="B7" s="702"/>
      <c r="C7" s="708"/>
      <c r="D7" s="321" t="s">
        <v>170</v>
      </c>
      <c r="E7" s="323" t="s">
        <v>171</v>
      </c>
      <c r="F7" s="321" t="s">
        <v>170</v>
      </c>
      <c r="G7" s="323" t="s">
        <v>171</v>
      </c>
      <c r="H7" s="321" t="s">
        <v>170</v>
      </c>
      <c r="I7" s="323" t="s">
        <v>171</v>
      </c>
      <c r="J7" s="321" t="s">
        <v>170</v>
      </c>
      <c r="K7" s="322" t="s">
        <v>171</v>
      </c>
      <c r="L7" s="441"/>
      <c r="M7" s="321" t="s">
        <v>81</v>
      </c>
      <c r="N7" s="322" t="s">
        <v>178</v>
      </c>
      <c r="O7" s="332" t="s">
        <v>104</v>
      </c>
      <c r="P7" s="321" t="s">
        <v>107</v>
      </c>
      <c r="Q7" s="344" t="s">
        <v>170</v>
      </c>
      <c r="R7" s="443"/>
      <c r="S7" s="702"/>
      <c r="T7" s="348" t="s">
        <v>188</v>
      </c>
      <c r="U7" s="348" t="s">
        <v>189</v>
      </c>
      <c r="V7" s="344" t="s">
        <v>107</v>
      </c>
      <c r="W7" s="348" t="s">
        <v>104</v>
      </c>
      <c r="X7" s="702"/>
      <c r="Y7" s="443"/>
      <c r="Z7" s="443"/>
      <c r="AA7" s="443"/>
    </row>
    <row r="8" spans="1:27" ht="19.899999999999999" customHeight="1" x14ac:dyDescent="0.25">
      <c r="A8" s="441"/>
      <c r="B8" s="336" t="s">
        <v>125</v>
      </c>
      <c r="C8" s="336" t="s">
        <v>122</v>
      </c>
      <c r="D8" s="337" t="s">
        <v>172</v>
      </c>
      <c r="E8" s="338">
        <v>1</v>
      </c>
      <c r="F8" s="337"/>
      <c r="G8" s="457"/>
      <c r="H8" s="337"/>
      <c r="I8" s="338"/>
      <c r="J8" s="458"/>
      <c r="K8" s="338"/>
      <c r="L8" s="441"/>
      <c r="M8" s="345" t="s">
        <v>81</v>
      </c>
      <c r="N8" s="345">
        <v>1</v>
      </c>
      <c r="O8" s="346">
        <f>'Resultados Definitivos'!C8</f>
        <v>13.677099999999999</v>
      </c>
      <c r="P8" s="353">
        <f>'Resultados Definitivos'!E8</f>
        <v>2</v>
      </c>
      <c r="Q8" s="336" t="s">
        <v>183</v>
      </c>
      <c r="R8" s="443"/>
      <c r="S8" s="345">
        <v>1</v>
      </c>
      <c r="T8" s="346" t="s">
        <v>192</v>
      </c>
      <c r="U8" s="346" t="s">
        <v>191</v>
      </c>
      <c r="V8" s="363">
        <v>2</v>
      </c>
      <c r="W8" s="360">
        <v>6.9</v>
      </c>
      <c r="X8" s="336" t="s">
        <v>183</v>
      </c>
      <c r="Y8" s="443"/>
      <c r="Z8" s="443"/>
      <c r="AA8" s="443"/>
    </row>
    <row r="9" spans="1:27" ht="19.899999999999999" customHeight="1" x14ac:dyDescent="0.25">
      <c r="A9" s="441"/>
      <c r="B9" s="325" t="s">
        <v>125</v>
      </c>
      <c r="C9" s="325" t="s">
        <v>37</v>
      </c>
      <c r="D9" s="327" t="s">
        <v>175</v>
      </c>
      <c r="E9" s="328">
        <v>2</v>
      </c>
      <c r="F9" s="329" t="s">
        <v>173</v>
      </c>
      <c r="G9" s="459">
        <v>1</v>
      </c>
      <c r="H9" s="327"/>
      <c r="I9" s="328"/>
      <c r="J9" s="460" t="s">
        <v>174</v>
      </c>
      <c r="K9" s="330">
        <v>1</v>
      </c>
      <c r="L9" s="441"/>
      <c r="M9" s="325">
        <v>1</v>
      </c>
      <c r="N9" s="325">
        <v>2</v>
      </c>
      <c r="O9" s="289">
        <f>'Resultados Definitivos'!C9</f>
        <v>96.975099999999998</v>
      </c>
      <c r="P9" s="354">
        <f>'Resultados Definitivos'!E9</f>
        <v>2</v>
      </c>
      <c r="Q9" s="325" t="s">
        <v>183</v>
      </c>
      <c r="R9" s="443"/>
      <c r="S9" s="325">
        <v>2</v>
      </c>
      <c r="T9" s="354">
        <v>1</v>
      </c>
      <c r="U9" s="354">
        <v>3</v>
      </c>
      <c r="V9" s="364">
        <v>2</v>
      </c>
      <c r="W9" s="361">
        <f>3.195+1.305</f>
        <v>4.5</v>
      </c>
      <c r="X9" s="325" t="s">
        <v>183</v>
      </c>
      <c r="Y9" s="443"/>
      <c r="Z9" s="443"/>
      <c r="AA9" s="443"/>
    </row>
    <row r="10" spans="1:27" ht="19.899999999999999" customHeight="1" x14ac:dyDescent="0.25">
      <c r="A10" s="441"/>
      <c r="B10" s="339" t="s">
        <v>125</v>
      </c>
      <c r="C10" s="339" t="s">
        <v>38</v>
      </c>
      <c r="D10" s="340" t="s">
        <v>175</v>
      </c>
      <c r="E10" s="341">
        <v>2</v>
      </c>
      <c r="F10" s="342" t="s">
        <v>173</v>
      </c>
      <c r="G10" s="461">
        <v>1</v>
      </c>
      <c r="H10" s="340" t="s">
        <v>174</v>
      </c>
      <c r="I10" s="341">
        <v>1</v>
      </c>
      <c r="J10" s="462"/>
      <c r="K10" s="341"/>
      <c r="L10" s="441"/>
      <c r="M10" s="339">
        <v>2</v>
      </c>
      <c r="N10" s="339">
        <v>3</v>
      </c>
      <c r="O10" s="290">
        <f>'Resultados Definitivos'!C10</f>
        <v>86.260599999999997</v>
      </c>
      <c r="P10" s="355">
        <f>'Resultados Definitivos'!E10</f>
        <v>2</v>
      </c>
      <c r="Q10" s="339" t="s">
        <v>183</v>
      </c>
      <c r="R10" s="443"/>
      <c r="S10" s="339">
        <v>3</v>
      </c>
      <c r="T10" s="355">
        <v>2</v>
      </c>
      <c r="U10" s="355">
        <v>4</v>
      </c>
      <c r="V10" s="364">
        <v>2</v>
      </c>
      <c r="W10" s="362">
        <f>2.943+2.279</f>
        <v>5.2219999999999995</v>
      </c>
      <c r="X10" s="339" t="s">
        <v>183</v>
      </c>
      <c r="Y10" s="443"/>
      <c r="Z10" s="443"/>
      <c r="AA10" s="443"/>
    </row>
    <row r="11" spans="1:27" ht="19.899999999999999" customHeight="1" x14ac:dyDescent="0.25">
      <c r="A11" s="441"/>
      <c r="B11" s="325" t="s">
        <v>125</v>
      </c>
      <c r="C11" s="325" t="s">
        <v>39</v>
      </c>
      <c r="D11" s="327" t="s">
        <v>175</v>
      </c>
      <c r="E11" s="328">
        <v>6</v>
      </c>
      <c r="F11" s="329" t="s">
        <v>173</v>
      </c>
      <c r="G11" s="459">
        <v>1</v>
      </c>
      <c r="H11" s="327" t="s">
        <v>174</v>
      </c>
      <c r="I11" s="328">
        <v>1</v>
      </c>
      <c r="J11" s="463"/>
      <c r="K11" s="328"/>
      <c r="L11" s="441"/>
      <c r="M11" s="325">
        <v>3</v>
      </c>
      <c r="N11" s="325">
        <v>4</v>
      </c>
      <c r="O11" s="289">
        <f>'Resultados Definitivos'!C11</f>
        <v>111.3882</v>
      </c>
      <c r="P11" s="354">
        <f>'Resultados Definitivos'!E11</f>
        <v>2</v>
      </c>
      <c r="Q11" s="325" t="s">
        <v>183</v>
      </c>
      <c r="R11" s="443"/>
      <c r="S11" s="325">
        <v>4</v>
      </c>
      <c r="T11" s="354">
        <v>3</v>
      </c>
      <c r="U11" s="354">
        <v>5</v>
      </c>
      <c r="V11" s="364">
        <v>2</v>
      </c>
      <c r="W11" s="361">
        <f>4.085+2.624</f>
        <v>6.7089999999999996</v>
      </c>
      <c r="X11" s="325" t="s">
        <v>183</v>
      </c>
      <c r="Y11" s="443"/>
      <c r="Z11" s="443"/>
      <c r="AA11" s="443"/>
    </row>
    <row r="12" spans="1:27" ht="19.899999999999999" customHeight="1" x14ac:dyDescent="0.25">
      <c r="A12" s="441"/>
      <c r="B12" s="339" t="s">
        <v>125</v>
      </c>
      <c r="C12" s="339" t="s">
        <v>64</v>
      </c>
      <c r="D12" s="340" t="s">
        <v>175</v>
      </c>
      <c r="E12" s="341">
        <v>2</v>
      </c>
      <c r="F12" s="342" t="s">
        <v>173</v>
      </c>
      <c r="G12" s="461">
        <v>1</v>
      </c>
      <c r="H12" s="340" t="s">
        <v>174</v>
      </c>
      <c r="I12" s="341">
        <v>1</v>
      </c>
      <c r="J12" s="462"/>
      <c r="K12" s="341"/>
      <c r="L12" s="441"/>
      <c r="M12" s="339">
        <v>4</v>
      </c>
      <c r="N12" s="339">
        <v>5</v>
      </c>
      <c r="O12" s="290">
        <f>'Resultados Definitivos'!C12</f>
        <v>94.485900000000001</v>
      </c>
      <c r="P12" s="355">
        <f>'Resultados Definitivos'!E12</f>
        <v>2</v>
      </c>
      <c r="Q12" s="339" t="s">
        <v>183</v>
      </c>
      <c r="R12" s="443"/>
      <c r="S12" s="339">
        <v>5</v>
      </c>
      <c r="T12" s="355">
        <v>4</v>
      </c>
      <c r="U12" s="355">
        <v>6</v>
      </c>
      <c r="V12" s="364">
        <v>2</v>
      </c>
      <c r="W12" s="362">
        <f>3.879+4.71</f>
        <v>8.5890000000000004</v>
      </c>
      <c r="X12" s="339" t="s">
        <v>183</v>
      </c>
      <c r="Y12" s="443"/>
      <c r="Z12" s="443"/>
      <c r="AA12" s="443"/>
    </row>
    <row r="13" spans="1:27" ht="19.899999999999999" customHeight="1" x14ac:dyDescent="0.25">
      <c r="A13" s="441"/>
      <c r="B13" s="325" t="s">
        <v>125</v>
      </c>
      <c r="C13" s="325" t="s">
        <v>65</v>
      </c>
      <c r="D13" s="329" t="s">
        <v>172</v>
      </c>
      <c r="E13" s="330">
        <v>1</v>
      </c>
      <c r="F13" s="329" t="s">
        <v>173</v>
      </c>
      <c r="G13" s="459">
        <v>1</v>
      </c>
      <c r="H13" s="327" t="s">
        <v>174</v>
      </c>
      <c r="I13" s="328">
        <v>1</v>
      </c>
      <c r="J13" s="463"/>
      <c r="K13" s="328"/>
      <c r="L13" s="441"/>
      <c r="M13" s="325">
        <v>5</v>
      </c>
      <c r="N13" s="325">
        <v>6</v>
      </c>
      <c r="O13" s="289">
        <f>'Resultados Definitivos'!C13</f>
        <v>75.623900000000006</v>
      </c>
      <c r="P13" s="354">
        <f>'Resultados Definitivos'!E13</f>
        <v>2</v>
      </c>
      <c r="Q13" s="325" t="s">
        <v>183</v>
      </c>
      <c r="R13" s="443"/>
      <c r="S13" s="325">
        <v>6</v>
      </c>
      <c r="T13" s="354">
        <v>5</v>
      </c>
      <c r="U13" s="354">
        <v>10</v>
      </c>
      <c r="V13" s="364">
        <v>2</v>
      </c>
      <c r="W13" s="361">
        <f>4.101+2.393</f>
        <v>6.4939999999999998</v>
      </c>
      <c r="X13" s="325" t="s">
        <v>183</v>
      </c>
      <c r="Y13" s="443"/>
      <c r="Z13" s="443"/>
      <c r="AA13" s="443"/>
    </row>
    <row r="14" spans="1:27" ht="19.899999999999999" customHeight="1" x14ac:dyDescent="0.25">
      <c r="A14" s="441"/>
      <c r="B14" s="339" t="s">
        <v>125</v>
      </c>
      <c r="C14" s="339" t="s">
        <v>61</v>
      </c>
      <c r="D14" s="340"/>
      <c r="E14" s="341"/>
      <c r="F14" s="342" t="s">
        <v>173</v>
      </c>
      <c r="G14" s="461">
        <v>1</v>
      </c>
      <c r="H14" s="340" t="s">
        <v>174</v>
      </c>
      <c r="I14" s="341">
        <v>1</v>
      </c>
      <c r="J14" s="462"/>
      <c r="K14" s="341"/>
      <c r="L14" s="441"/>
      <c r="M14" s="339">
        <v>6</v>
      </c>
      <c r="N14" s="339">
        <v>7</v>
      </c>
      <c r="O14" s="290">
        <f>'Resultados Definitivos'!C14</f>
        <v>33.049199999999999</v>
      </c>
      <c r="P14" s="355">
        <f>'Resultados Definitivos'!E14</f>
        <v>2</v>
      </c>
      <c r="Q14" s="339" t="s">
        <v>183</v>
      </c>
      <c r="R14" s="443"/>
      <c r="S14" s="339">
        <v>7</v>
      </c>
      <c r="T14" s="355" t="s">
        <v>192</v>
      </c>
      <c r="U14" s="355"/>
      <c r="V14" s="364">
        <v>2</v>
      </c>
      <c r="W14" s="362">
        <f>3.617+1.461</f>
        <v>5.0780000000000003</v>
      </c>
      <c r="X14" s="339" t="s">
        <v>183</v>
      </c>
      <c r="Y14" s="443"/>
      <c r="Z14" s="443"/>
      <c r="AA14" s="443"/>
    </row>
    <row r="15" spans="1:27" ht="19.899999999999999" customHeight="1" x14ac:dyDescent="0.25">
      <c r="A15" s="441"/>
      <c r="B15" s="325" t="s">
        <v>125</v>
      </c>
      <c r="C15" s="325" t="s">
        <v>143</v>
      </c>
      <c r="D15" s="327" t="s">
        <v>175</v>
      </c>
      <c r="E15" s="328">
        <v>2</v>
      </c>
      <c r="F15" s="329" t="s">
        <v>173</v>
      </c>
      <c r="G15" s="459">
        <v>1</v>
      </c>
      <c r="H15" s="327" t="s">
        <v>174</v>
      </c>
      <c r="I15" s="328">
        <v>1</v>
      </c>
      <c r="J15" s="463"/>
      <c r="K15" s="328"/>
      <c r="L15" s="441"/>
      <c r="M15" s="325">
        <v>7</v>
      </c>
      <c r="N15" s="325">
        <v>15</v>
      </c>
      <c r="O15" s="289">
        <f>'Resultados Definitivos'!C15</f>
        <v>26.0762</v>
      </c>
      <c r="P15" s="354">
        <f>'Resultados Definitivos'!E15</f>
        <v>2</v>
      </c>
      <c r="Q15" s="325" t="s">
        <v>183</v>
      </c>
      <c r="R15" s="443"/>
      <c r="S15" s="325">
        <v>8</v>
      </c>
      <c r="T15" s="354">
        <v>7</v>
      </c>
      <c r="U15" s="354">
        <v>9</v>
      </c>
      <c r="V15" s="364">
        <v>2</v>
      </c>
      <c r="W15" s="361">
        <f>1.863+1.582</f>
        <v>3.4450000000000003</v>
      </c>
      <c r="X15" s="325" t="s">
        <v>183</v>
      </c>
      <c r="Y15" s="443"/>
      <c r="Z15" s="443"/>
      <c r="AA15" s="443"/>
    </row>
    <row r="16" spans="1:27" ht="19.899999999999999" customHeight="1" x14ac:dyDescent="0.25">
      <c r="A16" s="441"/>
      <c r="B16" s="339" t="s">
        <v>125</v>
      </c>
      <c r="C16" s="339" t="s">
        <v>141</v>
      </c>
      <c r="D16" s="340"/>
      <c r="E16" s="341"/>
      <c r="F16" s="342"/>
      <c r="G16" s="461"/>
      <c r="H16" s="340"/>
      <c r="I16" s="341"/>
      <c r="J16" s="462" t="s">
        <v>174</v>
      </c>
      <c r="K16" s="341">
        <v>1</v>
      </c>
      <c r="L16" s="441"/>
      <c r="M16" s="339">
        <v>1</v>
      </c>
      <c r="N16" s="339">
        <v>8</v>
      </c>
      <c r="O16" s="290">
        <f>'Resultados Definitivos'!C16</f>
        <v>17.547599999999999</v>
      </c>
      <c r="P16" s="355">
        <f>'Resultados Definitivos'!E16</f>
        <v>2</v>
      </c>
      <c r="Q16" s="339" t="s">
        <v>183</v>
      </c>
      <c r="R16" s="443"/>
      <c r="S16" s="339">
        <v>9</v>
      </c>
      <c r="T16" s="355">
        <v>8</v>
      </c>
      <c r="U16" s="355"/>
      <c r="V16" s="364">
        <v>2</v>
      </c>
      <c r="W16" s="362">
        <f>1.884+0.847</f>
        <v>2.7309999999999999</v>
      </c>
      <c r="X16" s="339" t="s">
        <v>183</v>
      </c>
      <c r="Y16" s="443"/>
      <c r="Z16" s="443"/>
      <c r="AA16" s="443"/>
    </row>
    <row r="17" spans="1:27" ht="19.899999999999999" customHeight="1" x14ac:dyDescent="0.25">
      <c r="A17" s="441"/>
      <c r="B17" s="325" t="s">
        <v>125</v>
      </c>
      <c r="C17" s="325" t="s">
        <v>85</v>
      </c>
      <c r="D17" s="327" t="s">
        <v>175</v>
      </c>
      <c r="E17" s="328">
        <v>4</v>
      </c>
      <c r="F17" s="329" t="s">
        <v>173</v>
      </c>
      <c r="G17" s="459">
        <v>1</v>
      </c>
      <c r="H17" s="327" t="s">
        <v>174</v>
      </c>
      <c r="I17" s="328">
        <v>1</v>
      </c>
      <c r="J17" s="463"/>
      <c r="K17" s="328"/>
      <c r="L17" s="441"/>
      <c r="M17" s="325">
        <v>8</v>
      </c>
      <c r="N17" s="325">
        <v>9</v>
      </c>
      <c r="O17" s="289">
        <f>'Resultados Definitivos'!C17</f>
        <v>95.631299999999982</v>
      </c>
      <c r="P17" s="354">
        <f>'Resultados Definitivos'!E17</f>
        <v>2</v>
      </c>
      <c r="Q17" s="325" t="s">
        <v>183</v>
      </c>
      <c r="R17" s="443"/>
      <c r="S17" s="325">
        <v>10</v>
      </c>
      <c r="T17" s="354">
        <v>9</v>
      </c>
      <c r="U17" s="354">
        <v>11</v>
      </c>
      <c r="V17" s="464">
        <v>2</v>
      </c>
      <c r="W17" s="361">
        <f>0.495+0.413+0.327</f>
        <v>1.2349999999999999</v>
      </c>
      <c r="X17" s="325" t="s">
        <v>183</v>
      </c>
      <c r="Y17" s="443"/>
      <c r="Z17" s="443"/>
      <c r="AA17" s="443"/>
    </row>
    <row r="18" spans="1:27" ht="19.899999999999999" customHeight="1" x14ac:dyDescent="0.25">
      <c r="A18" s="441"/>
      <c r="B18" s="339" t="s">
        <v>125</v>
      </c>
      <c r="C18" s="339" t="s">
        <v>86</v>
      </c>
      <c r="D18" s="340"/>
      <c r="E18" s="341"/>
      <c r="F18" s="342" t="s">
        <v>173</v>
      </c>
      <c r="G18" s="461">
        <v>1</v>
      </c>
      <c r="H18" s="340" t="s">
        <v>174</v>
      </c>
      <c r="I18" s="341">
        <v>1</v>
      </c>
      <c r="J18" s="462"/>
      <c r="K18" s="341"/>
      <c r="L18" s="441"/>
      <c r="M18" s="339">
        <v>9</v>
      </c>
      <c r="N18" s="339">
        <v>10</v>
      </c>
      <c r="O18" s="290">
        <f>'Resultados Definitivos'!C18</f>
        <v>4.4747000000000003</v>
      </c>
      <c r="P18" s="355">
        <f>'Resultados Definitivos'!E18</f>
        <v>2</v>
      </c>
      <c r="Q18" s="339" t="s">
        <v>183</v>
      </c>
      <c r="R18" s="443"/>
      <c r="S18" s="339">
        <v>11</v>
      </c>
      <c r="T18" s="355">
        <v>10</v>
      </c>
      <c r="U18" s="355">
        <v>12</v>
      </c>
      <c r="V18" s="364">
        <v>2</v>
      </c>
      <c r="W18" s="362">
        <f>4.134+2.268</f>
        <v>6.4020000000000001</v>
      </c>
      <c r="X18" s="339" t="s">
        <v>183</v>
      </c>
      <c r="Y18" s="443"/>
      <c r="Z18" s="443"/>
      <c r="AA18" s="443"/>
    </row>
    <row r="19" spans="1:27" ht="19.899999999999999" customHeight="1" x14ac:dyDescent="0.25">
      <c r="A19" s="441"/>
      <c r="B19" s="325" t="s">
        <v>125</v>
      </c>
      <c r="C19" s="325" t="s">
        <v>142</v>
      </c>
      <c r="D19" s="327"/>
      <c r="E19" s="328"/>
      <c r="F19" s="329" t="s">
        <v>173</v>
      </c>
      <c r="G19" s="459">
        <v>1</v>
      </c>
      <c r="H19" s="327" t="s">
        <v>174</v>
      </c>
      <c r="I19" s="328">
        <v>1</v>
      </c>
      <c r="J19" s="463"/>
      <c r="K19" s="328"/>
      <c r="L19" s="441"/>
      <c r="M19" s="325">
        <v>10</v>
      </c>
      <c r="N19" s="325">
        <v>15</v>
      </c>
      <c r="O19" s="289">
        <f>'Resultados Definitivos'!C19</f>
        <v>44.459099999999999</v>
      </c>
      <c r="P19" s="354">
        <f>'Resultados Definitivos'!E19</f>
        <v>2</v>
      </c>
      <c r="Q19" s="325" t="s">
        <v>183</v>
      </c>
      <c r="R19" s="443"/>
      <c r="S19" s="325">
        <v>12</v>
      </c>
      <c r="T19" s="354">
        <v>11</v>
      </c>
      <c r="U19" s="354"/>
      <c r="V19" s="364">
        <v>2</v>
      </c>
      <c r="W19" s="361">
        <f>4.061+2.421</f>
        <v>6.4819999999999993</v>
      </c>
      <c r="X19" s="325" t="s">
        <v>183</v>
      </c>
      <c r="Y19" s="443"/>
      <c r="Z19" s="443"/>
      <c r="AA19" s="443"/>
    </row>
    <row r="20" spans="1:27" ht="19.899999999999999" customHeight="1" thickBot="1" x14ac:dyDescent="0.3">
      <c r="A20" s="441"/>
      <c r="B20" s="705" t="s">
        <v>125</v>
      </c>
      <c r="C20" s="705" t="s">
        <v>144</v>
      </c>
      <c r="D20" s="340" t="s">
        <v>176</v>
      </c>
      <c r="E20" s="341">
        <v>1</v>
      </c>
      <c r="F20" s="342" t="s">
        <v>173</v>
      </c>
      <c r="G20" s="461">
        <v>1</v>
      </c>
      <c r="H20" s="340"/>
      <c r="I20" s="341"/>
      <c r="J20" s="462" t="s">
        <v>198</v>
      </c>
      <c r="K20" s="341">
        <v>1</v>
      </c>
      <c r="L20" s="441"/>
      <c r="M20" s="339">
        <v>15</v>
      </c>
      <c r="N20" s="339">
        <v>11</v>
      </c>
      <c r="O20" s="290">
        <f>'Resultados Definitivos'!C21</f>
        <v>828.37099999999998</v>
      </c>
      <c r="P20" s="355">
        <f>'Resultados Definitivos'!E21</f>
        <v>2</v>
      </c>
      <c r="Q20" s="339" t="s">
        <v>183</v>
      </c>
      <c r="R20" s="443"/>
      <c r="S20" s="366">
        <v>13</v>
      </c>
      <c r="T20" s="367">
        <v>12</v>
      </c>
      <c r="U20" s="367" t="s">
        <v>192</v>
      </c>
      <c r="V20" s="365">
        <v>2</v>
      </c>
      <c r="W20" s="368">
        <f>6.932+2.307</f>
        <v>9.2390000000000008</v>
      </c>
      <c r="X20" s="366" t="s">
        <v>183</v>
      </c>
      <c r="Y20" s="443"/>
      <c r="Z20" s="443"/>
      <c r="AA20" s="443"/>
    </row>
    <row r="21" spans="1:27" ht="19.899999999999999" customHeight="1" x14ac:dyDescent="0.25">
      <c r="A21" s="441"/>
      <c r="B21" s="706"/>
      <c r="C21" s="706"/>
      <c r="D21" s="340" t="s">
        <v>175</v>
      </c>
      <c r="E21" s="341">
        <v>1</v>
      </c>
      <c r="F21" s="342"/>
      <c r="G21" s="461"/>
      <c r="H21" s="340"/>
      <c r="I21" s="341"/>
      <c r="J21" s="462"/>
      <c r="K21" s="341"/>
      <c r="L21" s="441"/>
      <c r="M21" s="339"/>
      <c r="N21" s="339"/>
      <c r="O21" s="290"/>
      <c r="P21" s="355"/>
      <c r="Q21" s="339"/>
      <c r="R21" s="443"/>
      <c r="S21" s="465"/>
      <c r="T21" s="466"/>
      <c r="U21" s="466"/>
      <c r="V21" s="466"/>
      <c r="W21" s="467"/>
      <c r="X21" s="465"/>
      <c r="Y21" s="443"/>
      <c r="Z21" s="443"/>
      <c r="AA21" s="443"/>
    </row>
    <row r="22" spans="1:27" ht="19.899999999999999" customHeight="1" x14ac:dyDescent="0.25">
      <c r="A22" s="441"/>
      <c r="B22" s="325" t="s">
        <v>125</v>
      </c>
      <c r="C22" s="325" t="s">
        <v>40</v>
      </c>
      <c r="D22" s="327" t="s">
        <v>175</v>
      </c>
      <c r="E22" s="328">
        <v>1</v>
      </c>
      <c r="F22" s="329" t="s">
        <v>173</v>
      </c>
      <c r="G22" s="459">
        <v>1</v>
      </c>
      <c r="H22" s="327" t="s">
        <v>174</v>
      </c>
      <c r="I22" s="328">
        <v>1</v>
      </c>
      <c r="J22" s="463"/>
      <c r="K22" s="328"/>
      <c r="L22" s="441"/>
      <c r="M22" s="325">
        <v>11</v>
      </c>
      <c r="N22" s="325">
        <v>12</v>
      </c>
      <c r="O22" s="289">
        <f>'Resultados Definitivos'!C22</f>
        <v>6.3987999999999996</v>
      </c>
      <c r="P22" s="354">
        <f>'Resultados Definitivos'!E22</f>
        <v>2</v>
      </c>
      <c r="Q22" s="325" t="s">
        <v>183</v>
      </c>
      <c r="R22" s="443"/>
      <c r="S22" s="357"/>
      <c r="T22" s="359"/>
      <c r="U22" s="359"/>
      <c r="V22" s="359"/>
      <c r="W22" s="358"/>
      <c r="X22" s="357"/>
      <c r="Y22" s="441"/>
      <c r="Z22" s="443"/>
      <c r="AA22" s="443"/>
    </row>
    <row r="23" spans="1:27" ht="19.899999999999999" customHeight="1" x14ac:dyDescent="0.25">
      <c r="A23" s="441"/>
      <c r="B23" s="339" t="s">
        <v>125</v>
      </c>
      <c r="C23" s="339" t="s">
        <v>145</v>
      </c>
      <c r="D23" s="340"/>
      <c r="E23" s="341"/>
      <c r="F23" s="342" t="s">
        <v>173</v>
      </c>
      <c r="G23" s="461">
        <v>1</v>
      </c>
      <c r="H23" s="340" t="s">
        <v>174</v>
      </c>
      <c r="I23" s="341">
        <v>1</v>
      </c>
      <c r="J23" s="462"/>
      <c r="K23" s="341"/>
      <c r="L23" s="441"/>
      <c r="M23" s="339">
        <v>12</v>
      </c>
      <c r="N23" s="339">
        <v>16</v>
      </c>
      <c r="O23" s="290">
        <f>'Resultados Definitivos'!C23</f>
        <v>212.8605</v>
      </c>
      <c r="P23" s="355">
        <f>'Resultados Definitivos'!E23</f>
        <v>2</v>
      </c>
      <c r="Q23" s="339" t="s">
        <v>183</v>
      </c>
      <c r="R23" s="443"/>
      <c r="S23" s="357"/>
      <c r="T23" s="359"/>
      <c r="U23" s="359"/>
      <c r="V23" s="359"/>
      <c r="W23" s="358"/>
      <c r="X23" s="357"/>
      <c r="Y23" s="441"/>
      <c r="Z23" s="443"/>
      <c r="AA23" s="443"/>
    </row>
    <row r="24" spans="1:27" ht="19.899999999999999" customHeight="1" x14ac:dyDescent="0.25">
      <c r="A24" s="441"/>
      <c r="B24" s="325" t="s">
        <v>125</v>
      </c>
      <c r="C24" s="325" t="s">
        <v>146</v>
      </c>
      <c r="D24" s="327" t="s">
        <v>175</v>
      </c>
      <c r="E24" s="328">
        <v>6</v>
      </c>
      <c r="F24" s="329" t="s">
        <v>173</v>
      </c>
      <c r="G24" s="459">
        <v>1</v>
      </c>
      <c r="H24" s="327"/>
      <c r="I24" s="328"/>
      <c r="J24" s="463" t="s">
        <v>174</v>
      </c>
      <c r="K24" s="328">
        <v>1</v>
      </c>
      <c r="L24" s="441"/>
      <c r="M24" s="325">
        <v>16</v>
      </c>
      <c r="N24" s="325">
        <v>13</v>
      </c>
      <c r="O24" s="289">
        <f>'Resultados Definitivos'!C24</f>
        <v>349.82990000000001</v>
      </c>
      <c r="P24" s="354">
        <f>'Resultados Definitivos'!E24</f>
        <v>2</v>
      </c>
      <c r="Q24" s="325" t="s">
        <v>183</v>
      </c>
      <c r="R24" s="443"/>
      <c r="S24" s="357"/>
      <c r="T24" s="359"/>
      <c r="U24" s="468"/>
      <c r="V24" s="359"/>
      <c r="W24" s="358"/>
      <c r="X24" s="357"/>
      <c r="Y24" s="441"/>
      <c r="Z24" s="443"/>
      <c r="AA24" s="443"/>
    </row>
    <row r="25" spans="1:27" ht="19.899999999999999" customHeight="1" x14ac:dyDescent="0.25">
      <c r="A25" s="441"/>
      <c r="B25" s="339" t="s">
        <v>125</v>
      </c>
      <c r="C25" s="339" t="s">
        <v>147</v>
      </c>
      <c r="D25" s="340" t="s">
        <v>175</v>
      </c>
      <c r="E25" s="341">
        <v>9</v>
      </c>
      <c r="F25" s="342" t="s">
        <v>173</v>
      </c>
      <c r="G25" s="461">
        <v>1</v>
      </c>
      <c r="H25" s="340" t="s">
        <v>174</v>
      </c>
      <c r="I25" s="341">
        <v>1</v>
      </c>
      <c r="J25" s="462"/>
      <c r="K25" s="341"/>
      <c r="L25" s="441"/>
      <c r="M25" s="339">
        <v>13</v>
      </c>
      <c r="N25" s="339">
        <v>14</v>
      </c>
      <c r="O25" s="290">
        <f>'Resultados Definitivos'!C25</f>
        <v>401.94900000000001</v>
      </c>
      <c r="P25" s="355">
        <f>'Resultados Definitivos'!E25</f>
        <v>2</v>
      </c>
      <c r="Q25" s="339" t="s">
        <v>183</v>
      </c>
      <c r="R25" s="443"/>
      <c r="S25" s="357"/>
      <c r="T25" s="359"/>
      <c r="U25" s="359"/>
      <c r="V25" s="359"/>
      <c r="W25" s="358"/>
      <c r="X25" s="357"/>
      <c r="Y25" s="441"/>
      <c r="Z25" s="443"/>
      <c r="AA25" s="443"/>
    </row>
    <row r="26" spans="1:27" ht="19.899999999999999" customHeight="1" thickBot="1" x14ac:dyDescent="0.3">
      <c r="A26" s="441"/>
      <c r="B26" s="326" t="s">
        <v>125</v>
      </c>
      <c r="C26" s="326" t="s">
        <v>148</v>
      </c>
      <c r="D26" s="321" t="s">
        <v>175</v>
      </c>
      <c r="E26" s="322">
        <v>7</v>
      </c>
      <c r="F26" s="347" t="s">
        <v>173</v>
      </c>
      <c r="G26" s="469">
        <v>1</v>
      </c>
      <c r="H26" s="321" t="s">
        <v>174</v>
      </c>
      <c r="I26" s="322">
        <v>1</v>
      </c>
      <c r="J26" s="470" t="s">
        <v>174</v>
      </c>
      <c r="K26" s="331">
        <v>1</v>
      </c>
      <c r="L26" s="442"/>
      <c r="M26" s="326">
        <v>16</v>
      </c>
      <c r="N26" s="326">
        <v>14</v>
      </c>
      <c r="O26" s="343">
        <f>'Resultados Definitivos'!C26</f>
        <v>0</v>
      </c>
      <c r="P26" s="356">
        <f>'Resultados Definitivos'!E26</f>
        <v>0</v>
      </c>
      <c r="Q26" s="326" t="s">
        <v>183</v>
      </c>
      <c r="R26" s="443"/>
      <c r="S26" s="357"/>
      <c r="T26" s="359"/>
      <c r="U26" s="359"/>
      <c r="V26" s="359"/>
      <c r="W26" s="358"/>
      <c r="X26" s="357"/>
      <c r="Y26" s="441"/>
      <c r="Z26" s="443"/>
      <c r="AA26" s="443"/>
    </row>
    <row r="27" spans="1:27" ht="10.15" customHeight="1" thickBot="1" x14ac:dyDescent="0.3">
      <c r="A27" s="441"/>
      <c r="B27" s="711"/>
      <c r="C27" s="712"/>
      <c r="D27" s="712"/>
      <c r="E27" s="712"/>
      <c r="F27" s="712"/>
      <c r="G27" s="712"/>
      <c r="H27" s="713"/>
      <c r="I27" s="713"/>
      <c r="J27" s="712"/>
      <c r="K27" s="714"/>
      <c r="L27" s="442"/>
      <c r="M27" s="715"/>
      <c r="N27" s="716"/>
      <c r="O27" s="716"/>
      <c r="P27" s="716"/>
      <c r="Q27" s="717"/>
      <c r="R27" s="443"/>
      <c r="S27" s="718"/>
      <c r="T27" s="718"/>
      <c r="U27" s="718"/>
      <c r="V27" s="718"/>
      <c r="W27" s="718"/>
      <c r="X27" s="718"/>
      <c r="Y27" s="441"/>
      <c r="Z27" s="443"/>
      <c r="AA27" s="443"/>
    </row>
    <row r="28" spans="1:27" ht="19.899999999999999" customHeight="1" x14ac:dyDescent="0.25">
      <c r="B28" s="719" t="s">
        <v>179</v>
      </c>
      <c r="C28" s="720"/>
      <c r="D28" s="449" t="s">
        <v>172</v>
      </c>
      <c r="E28" s="444">
        <v>2</v>
      </c>
      <c r="F28" s="449" t="s">
        <v>173</v>
      </c>
      <c r="G28" s="473">
        <f>+SUM(G8:G26)</f>
        <v>16</v>
      </c>
      <c r="H28" s="449" t="s">
        <v>174</v>
      </c>
      <c r="I28" s="474">
        <f>+SUM(I8:I26)</f>
        <v>13</v>
      </c>
      <c r="J28" s="449" t="s">
        <v>174</v>
      </c>
      <c r="K28" s="450">
        <v>4</v>
      </c>
      <c r="L28" s="442"/>
      <c r="M28" s="688" t="s">
        <v>184</v>
      </c>
      <c r="N28" s="689"/>
      <c r="O28" s="689"/>
      <c r="P28" s="545"/>
      <c r="Q28" s="727">
        <f>SUM(O8:O26)</f>
        <v>2499.0581000000002</v>
      </c>
      <c r="R28" s="443"/>
      <c r="S28" s="537"/>
      <c r="T28" s="441"/>
      <c r="U28" s="441"/>
      <c r="V28" s="441"/>
      <c r="W28" s="441"/>
      <c r="X28" s="729"/>
      <c r="Y28" s="441"/>
      <c r="Z28" s="443"/>
      <c r="AA28" s="443"/>
    </row>
    <row r="29" spans="1:27" ht="19.899999999999999" customHeight="1" thickBot="1" x14ac:dyDescent="0.3">
      <c r="B29" s="721"/>
      <c r="C29" s="722"/>
      <c r="D29" s="327" t="s">
        <v>175</v>
      </c>
      <c r="E29" s="446">
        <v>42</v>
      </c>
      <c r="F29" s="445"/>
      <c r="G29" s="334"/>
      <c r="H29" s="471"/>
      <c r="I29" s="471"/>
      <c r="J29" s="164"/>
      <c r="K29" s="215"/>
      <c r="L29" s="442"/>
      <c r="M29" s="725"/>
      <c r="N29" s="726"/>
      <c r="O29" s="726"/>
      <c r="P29" s="546"/>
      <c r="Q29" s="728"/>
      <c r="R29" s="443"/>
      <c r="S29" s="537"/>
      <c r="T29" s="441"/>
      <c r="U29" s="441"/>
      <c r="V29" s="441"/>
      <c r="W29" s="441"/>
      <c r="X29" s="729"/>
      <c r="Y29" s="441"/>
      <c r="Z29" s="443"/>
      <c r="AA29" s="443"/>
    </row>
    <row r="30" spans="1:27" ht="19.899999999999999" customHeight="1" thickBot="1" x14ac:dyDescent="0.3">
      <c r="B30" s="723"/>
      <c r="C30" s="724"/>
      <c r="D30" s="321" t="s">
        <v>176</v>
      </c>
      <c r="E30" s="448">
        <v>1</v>
      </c>
      <c r="F30" s="447"/>
      <c r="G30" s="335"/>
      <c r="H30" s="472"/>
      <c r="I30" s="472"/>
      <c r="J30" s="174"/>
      <c r="K30" s="252"/>
      <c r="L30" s="442"/>
      <c r="N30" s="222"/>
      <c r="O30" s="451"/>
      <c r="P30" s="442"/>
      <c r="Q30" s="443"/>
      <c r="R30" s="443"/>
      <c r="S30" s="441"/>
      <c r="T30" s="441"/>
      <c r="U30" s="441"/>
      <c r="V30" s="441"/>
      <c r="W30" s="441"/>
      <c r="X30" s="441"/>
      <c r="Y30" s="441"/>
      <c r="Z30" s="443"/>
      <c r="AA30" s="443"/>
    </row>
    <row r="31" spans="1:27" ht="10.15" customHeight="1" thickBot="1" x14ac:dyDescent="0.3">
      <c r="B31" s="715"/>
      <c r="C31" s="716"/>
      <c r="D31" s="716"/>
      <c r="E31" s="716"/>
      <c r="F31" s="716"/>
      <c r="G31" s="716"/>
      <c r="H31" s="716"/>
      <c r="I31" s="716"/>
      <c r="J31" s="716"/>
      <c r="K31" s="717"/>
      <c r="L31" s="442"/>
      <c r="N31" s="222"/>
      <c r="O31" s="451"/>
      <c r="P31" s="442"/>
      <c r="Q31" s="443"/>
      <c r="R31" s="443"/>
      <c r="S31" s="443"/>
      <c r="T31" s="443"/>
      <c r="U31" s="443"/>
      <c r="V31" s="443"/>
      <c r="W31" s="443"/>
      <c r="X31" s="443"/>
      <c r="Y31" s="443"/>
      <c r="Z31" s="443"/>
      <c r="AA31" s="443"/>
    </row>
    <row r="32" spans="1:27" ht="45" customHeight="1" thickBot="1" x14ac:dyDescent="0.3">
      <c r="B32" s="690" t="s">
        <v>180</v>
      </c>
      <c r="C32" s="692"/>
      <c r="D32" s="690">
        <f>SUM(E28:E30)</f>
        <v>45</v>
      </c>
      <c r="E32" s="692"/>
      <c r="F32" s="730">
        <f>G28</f>
        <v>16</v>
      </c>
      <c r="G32" s="731"/>
      <c r="H32" s="732">
        <f>SUM(I8:I26)</f>
        <v>13</v>
      </c>
      <c r="I32" s="733"/>
      <c r="J32" s="732">
        <f>K28</f>
        <v>4</v>
      </c>
      <c r="K32" s="733"/>
      <c r="L32" s="442"/>
      <c r="N32" s="222"/>
      <c r="O32" s="451"/>
      <c r="P32" s="442"/>
      <c r="Q32" s="443"/>
      <c r="R32" s="443"/>
      <c r="S32" s="443"/>
      <c r="T32" s="443"/>
      <c r="U32" s="443"/>
      <c r="V32" s="443"/>
      <c r="W32" s="443"/>
      <c r="X32" s="443"/>
      <c r="Y32" s="443"/>
      <c r="Z32" s="443"/>
      <c r="AA32" s="443"/>
    </row>
    <row r="33" spans="5:27" x14ac:dyDescent="0.25">
      <c r="E33" s="441"/>
      <c r="F33" s="441"/>
      <c r="G33" s="441"/>
      <c r="H33" s="441"/>
      <c r="I33" s="441"/>
      <c r="J33" s="441"/>
      <c r="K33" s="441"/>
      <c r="L33" s="441"/>
      <c r="Q33" s="443"/>
      <c r="R33" s="443"/>
      <c r="S33" s="443"/>
      <c r="T33" s="443"/>
      <c r="U33" s="443"/>
      <c r="V33" s="443"/>
      <c r="W33" s="443"/>
      <c r="X33" s="443"/>
      <c r="Y33" s="443"/>
      <c r="Z33" s="443"/>
      <c r="AA33" s="443"/>
    </row>
    <row r="34" spans="5:27" x14ac:dyDescent="0.25">
      <c r="Q34" s="443"/>
      <c r="R34" s="443"/>
      <c r="S34" s="443"/>
      <c r="T34" s="443"/>
      <c r="U34" s="443"/>
      <c r="V34" s="443"/>
      <c r="W34" s="443"/>
      <c r="X34" s="443"/>
      <c r="Y34" s="443"/>
      <c r="Z34" s="443"/>
      <c r="AA34" s="443"/>
    </row>
    <row r="35" spans="5:27" s="440" customFormat="1" x14ac:dyDescent="0.25"/>
    <row r="36" spans="5:27" s="440" customFormat="1" x14ac:dyDescent="0.25"/>
    <row r="37" spans="5:27" s="440" customFormat="1" x14ac:dyDescent="0.25"/>
    <row r="38" spans="5:27" s="440" customFormat="1" x14ac:dyDescent="0.25"/>
    <row r="39" spans="5:27" s="440" customFormat="1" x14ac:dyDescent="0.25"/>
    <row r="40" spans="5:27" s="440" customFormat="1" x14ac:dyDescent="0.25"/>
    <row r="41" spans="5:27" s="440" customFormat="1" x14ac:dyDescent="0.25"/>
    <row r="42" spans="5:27" s="440" customFormat="1" x14ac:dyDescent="0.25"/>
    <row r="43" spans="5:27" s="440" customFormat="1" x14ac:dyDescent="0.25"/>
    <row r="44" spans="5:27" s="440" customFormat="1" x14ac:dyDescent="0.25"/>
    <row r="45" spans="5:27" s="440" customFormat="1" x14ac:dyDescent="0.25"/>
    <row r="46" spans="5:27" s="440" customFormat="1" x14ac:dyDescent="0.25"/>
    <row r="47" spans="5:27" s="440" customFormat="1" x14ac:dyDescent="0.25"/>
    <row r="48" spans="5:27" s="440" customFormat="1" x14ac:dyDescent="0.25"/>
    <row r="49" s="440" customFormat="1" x14ac:dyDescent="0.25"/>
    <row r="50" s="440" customFormat="1" x14ac:dyDescent="0.25"/>
    <row r="51" s="440" customFormat="1" x14ac:dyDescent="0.25"/>
    <row r="52" s="440" customFormat="1" x14ac:dyDescent="0.25"/>
    <row r="53" s="440" customFormat="1" x14ac:dyDescent="0.25"/>
    <row r="54" s="440" customFormat="1" x14ac:dyDescent="0.25"/>
    <row r="55" s="440" customFormat="1" x14ac:dyDescent="0.25"/>
    <row r="56" s="440" customFormat="1" x14ac:dyDescent="0.25"/>
    <row r="57" s="440" customFormat="1" x14ac:dyDescent="0.25"/>
    <row r="58" s="440" customFormat="1" x14ac:dyDescent="0.25"/>
    <row r="59" s="440" customFormat="1" x14ac:dyDescent="0.25"/>
    <row r="60" s="440" customFormat="1" x14ac:dyDescent="0.25"/>
    <row r="61" s="440" customFormat="1" x14ac:dyDescent="0.25"/>
    <row r="62" s="440" customFormat="1" x14ac:dyDescent="0.25"/>
    <row r="63" s="440" customFormat="1" x14ac:dyDescent="0.25"/>
    <row r="64" s="440" customFormat="1" x14ac:dyDescent="0.25"/>
    <row r="65" s="440" customFormat="1" x14ac:dyDescent="0.25"/>
    <row r="66" s="440" customFormat="1" x14ac:dyDescent="0.25"/>
    <row r="67" s="440" customFormat="1" x14ac:dyDescent="0.25"/>
    <row r="68" s="440" customFormat="1" x14ac:dyDescent="0.25"/>
    <row r="69" s="440" customFormat="1" x14ac:dyDescent="0.25"/>
    <row r="70" s="440" customFormat="1" x14ac:dyDescent="0.25"/>
    <row r="71" s="440" customFormat="1" x14ac:dyDescent="0.25"/>
    <row r="72" s="440" customFormat="1" x14ac:dyDescent="0.25"/>
    <row r="73" s="440" customFormat="1" x14ac:dyDescent="0.25"/>
    <row r="74" s="440" customFormat="1" x14ac:dyDescent="0.25"/>
    <row r="75" s="440" customFormat="1" x14ac:dyDescent="0.25"/>
    <row r="76" s="440" customFormat="1" x14ac:dyDescent="0.25"/>
    <row r="77" s="440" customFormat="1" x14ac:dyDescent="0.25"/>
    <row r="78" s="440" customFormat="1" x14ac:dyDescent="0.25"/>
    <row r="79" s="440" customFormat="1" x14ac:dyDescent="0.25"/>
    <row r="80" s="440" customFormat="1" x14ac:dyDescent="0.25"/>
    <row r="81" s="440" customFormat="1" x14ac:dyDescent="0.25"/>
    <row r="82" s="440" customFormat="1" x14ac:dyDescent="0.25"/>
    <row r="83" s="440" customFormat="1" x14ac:dyDescent="0.25"/>
    <row r="84" s="440" customFormat="1" x14ac:dyDescent="0.25"/>
    <row r="85" s="440" customFormat="1" x14ac:dyDescent="0.25"/>
    <row r="86" s="440" customFormat="1" x14ac:dyDescent="0.25"/>
    <row r="87" s="440" customFormat="1" x14ac:dyDescent="0.25"/>
    <row r="88" s="440" customFormat="1" x14ac:dyDescent="0.25"/>
    <row r="89" s="440" customFormat="1" x14ac:dyDescent="0.25"/>
    <row r="90" s="440" customFormat="1" x14ac:dyDescent="0.25"/>
    <row r="91" s="440" customFormat="1" x14ac:dyDescent="0.25"/>
    <row r="92" s="440" customFormat="1" x14ac:dyDescent="0.25"/>
    <row r="93" s="440" customFormat="1" x14ac:dyDescent="0.25"/>
    <row r="94" s="440" customFormat="1" x14ac:dyDescent="0.25"/>
    <row r="95" s="440" customFormat="1" x14ac:dyDescent="0.25"/>
    <row r="96" s="440" customFormat="1" x14ac:dyDescent="0.25"/>
    <row r="97" s="440" customFormat="1" x14ac:dyDescent="0.25"/>
    <row r="98" s="440" customFormat="1" x14ac:dyDescent="0.25"/>
    <row r="99" s="440" customFormat="1" x14ac:dyDescent="0.25"/>
    <row r="100" s="440" customFormat="1" x14ac:dyDescent="0.25"/>
    <row r="101" s="440" customFormat="1" x14ac:dyDescent="0.25"/>
    <row r="102" s="440" customFormat="1" x14ac:dyDescent="0.25"/>
    <row r="103" s="440" customFormat="1" x14ac:dyDescent="0.25"/>
    <row r="104" s="440" customFormat="1" x14ac:dyDescent="0.25"/>
    <row r="105" s="440" customFormat="1" x14ac:dyDescent="0.25"/>
    <row r="106" s="440" customFormat="1" x14ac:dyDescent="0.25"/>
    <row r="107" s="440" customFormat="1" x14ac:dyDescent="0.25"/>
    <row r="108" s="440" customFormat="1" x14ac:dyDescent="0.25"/>
    <row r="109" s="440" customFormat="1" x14ac:dyDescent="0.25"/>
    <row r="110" s="440" customFormat="1" x14ac:dyDescent="0.25"/>
    <row r="111" s="440" customFormat="1" x14ac:dyDescent="0.25"/>
    <row r="112" s="440" customFormat="1" x14ac:dyDescent="0.25"/>
    <row r="113" s="440" customFormat="1" x14ac:dyDescent="0.25"/>
    <row r="114" s="440" customFormat="1" x14ac:dyDescent="0.25"/>
    <row r="115" s="440" customFormat="1" x14ac:dyDescent="0.25"/>
    <row r="116" s="440" customFormat="1" x14ac:dyDescent="0.25"/>
    <row r="117" s="440" customFormat="1" x14ac:dyDescent="0.25"/>
    <row r="118" s="440" customFormat="1" x14ac:dyDescent="0.25"/>
    <row r="119" s="440" customFormat="1" x14ac:dyDescent="0.25"/>
    <row r="120" s="440" customFormat="1" x14ac:dyDescent="0.25"/>
    <row r="121" s="440" customFormat="1" x14ac:dyDescent="0.25"/>
    <row r="122" s="440" customFormat="1" x14ac:dyDescent="0.25"/>
    <row r="123" s="440" customFormat="1" x14ac:dyDescent="0.25"/>
    <row r="124" s="440" customFormat="1" x14ac:dyDescent="0.25"/>
    <row r="125" s="440" customFormat="1" x14ac:dyDescent="0.25"/>
    <row r="126" s="440" customFormat="1" x14ac:dyDescent="0.25"/>
    <row r="127" s="440" customFormat="1" x14ac:dyDescent="0.25"/>
    <row r="128" s="440" customFormat="1" x14ac:dyDescent="0.25"/>
    <row r="129" s="440" customFormat="1" x14ac:dyDescent="0.25"/>
    <row r="130" s="440" customFormat="1" x14ac:dyDescent="0.25"/>
    <row r="131" s="440" customFormat="1" x14ac:dyDescent="0.25"/>
    <row r="132" s="440" customFormat="1" x14ac:dyDescent="0.25"/>
    <row r="133" s="440" customFormat="1" x14ac:dyDescent="0.25"/>
    <row r="134" s="440" customFormat="1" x14ac:dyDescent="0.25"/>
    <row r="135" s="440" customFormat="1" x14ac:dyDescent="0.25"/>
    <row r="136" s="440" customFormat="1" x14ac:dyDescent="0.25"/>
    <row r="137" s="440" customFormat="1" x14ac:dyDescent="0.25"/>
    <row r="138" s="440" customFormat="1" x14ac:dyDescent="0.25"/>
    <row r="139" s="440" customFormat="1" x14ac:dyDescent="0.25"/>
    <row r="140" s="440" customFormat="1" x14ac:dyDescent="0.25"/>
    <row r="141" s="440" customFormat="1" x14ac:dyDescent="0.25"/>
    <row r="142" s="440" customFormat="1" x14ac:dyDescent="0.25"/>
    <row r="143" s="440" customFormat="1" x14ac:dyDescent="0.25"/>
    <row r="144" s="440" customFormat="1" x14ac:dyDescent="0.25"/>
    <row r="145" s="440" customFormat="1" x14ac:dyDescent="0.25"/>
    <row r="146" s="440" customFormat="1" x14ac:dyDescent="0.25"/>
    <row r="147" s="440" customFormat="1" x14ac:dyDescent="0.25"/>
    <row r="148" s="440" customFormat="1" x14ac:dyDescent="0.25"/>
    <row r="149" s="440" customFormat="1" x14ac:dyDescent="0.25"/>
    <row r="150" s="440" customFormat="1" x14ac:dyDescent="0.25"/>
    <row r="151" s="440" customFormat="1" x14ac:dyDescent="0.25"/>
    <row r="152" s="440" customFormat="1" x14ac:dyDescent="0.25"/>
    <row r="153" s="440" customFormat="1" x14ac:dyDescent="0.25"/>
    <row r="154" s="440" customFormat="1" x14ac:dyDescent="0.25"/>
    <row r="155" s="440" customFormat="1" x14ac:dyDescent="0.25"/>
    <row r="156" s="440" customFormat="1" x14ac:dyDescent="0.25"/>
    <row r="157" s="440" customFormat="1" x14ac:dyDescent="0.25"/>
    <row r="158" s="440" customFormat="1" x14ac:dyDescent="0.25"/>
    <row r="159" s="440" customFormat="1" x14ac:dyDescent="0.25"/>
    <row r="160" s="440" customFormat="1" x14ac:dyDescent="0.25"/>
    <row r="161" s="440" customFormat="1" x14ac:dyDescent="0.25"/>
    <row r="162" s="440" customFormat="1" x14ac:dyDescent="0.25"/>
    <row r="163" s="440" customFormat="1" x14ac:dyDescent="0.25"/>
    <row r="164" s="440" customFormat="1" x14ac:dyDescent="0.25"/>
    <row r="165" s="440" customFormat="1" x14ac:dyDescent="0.25"/>
    <row r="166" s="440" customFormat="1" x14ac:dyDescent="0.25"/>
    <row r="167" s="440" customFormat="1" x14ac:dyDescent="0.25"/>
    <row r="168" s="440" customFormat="1" x14ac:dyDescent="0.25"/>
    <row r="169" s="440" customFormat="1" x14ac:dyDescent="0.25"/>
    <row r="170" s="440" customFormat="1" x14ac:dyDescent="0.25"/>
    <row r="171" s="440" customFormat="1" x14ac:dyDescent="0.25"/>
    <row r="172" s="440" customFormat="1" x14ac:dyDescent="0.25"/>
    <row r="173" s="440" customFormat="1" x14ac:dyDescent="0.25"/>
    <row r="174" s="440" customFormat="1" x14ac:dyDescent="0.25"/>
    <row r="175" s="440" customFormat="1" x14ac:dyDescent="0.25"/>
    <row r="176" s="440" customFormat="1" x14ac:dyDescent="0.25"/>
    <row r="177" s="440" customFormat="1" x14ac:dyDescent="0.25"/>
    <row r="178" s="440" customFormat="1" x14ac:dyDescent="0.25"/>
    <row r="179" s="440" customFormat="1" x14ac:dyDescent="0.25"/>
    <row r="180" s="440" customFormat="1" x14ac:dyDescent="0.25"/>
    <row r="181" s="440" customFormat="1" x14ac:dyDescent="0.25"/>
    <row r="182" s="440" customFormat="1" x14ac:dyDescent="0.25"/>
    <row r="183" s="440" customFormat="1" x14ac:dyDescent="0.25"/>
    <row r="184" s="440" customFormat="1" x14ac:dyDescent="0.25"/>
    <row r="185" s="440" customFormat="1" x14ac:dyDescent="0.25"/>
    <row r="186" s="440" customFormat="1" x14ac:dyDescent="0.25"/>
    <row r="187" s="440" customFormat="1" x14ac:dyDescent="0.25"/>
    <row r="188" s="440" customFormat="1" x14ac:dyDescent="0.25"/>
    <row r="189" s="440" customFormat="1" x14ac:dyDescent="0.25"/>
    <row r="190" s="440" customFormat="1" x14ac:dyDescent="0.25"/>
    <row r="191" s="440" customFormat="1" x14ac:dyDescent="0.25"/>
    <row r="192" s="440" customFormat="1" x14ac:dyDescent="0.25"/>
    <row r="193" s="440" customFormat="1" x14ac:dyDescent="0.25"/>
    <row r="194" s="440" customFormat="1" x14ac:dyDescent="0.25"/>
    <row r="195" s="440" customFormat="1" x14ac:dyDescent="0.25"/>
    <row r="196" s="440" customFormat="1" x14ac:dyDescent="0.25"/>
    <row r="197" s="440" customFormat="1" x14ac:dyDescent="0.25"/>
    <row r="198" s="440" customFormat="1" x14ac:dyDescent="0.25"/>
    <row r="199" s="440" customFormat="1" x14ac:dyDescent="0.25"/>
    <row r="200" s="440" customFormat="1" x14ac:dyDescent="0.25"/>
    <row r="201" s="440" customFormat="1" x14ac:dyDescent="0.25"/>
    <row r="202" s="440" customFormat="1" x14ac:dyDescent="0.25"/>
    <row r="203" s="440" customFormat="1" x14ac:dyDescent="0.25"/>
    <row r="204" s="440" customFormat="1" x14ac:dyDescent="0.25"/>
    <row r="205" s="440" customFormat="1" x14ac:dyDescent="0.25"/>
    <row r="206" s="440" customFormat="1" x14ac:dyDescent="0.25"/>
    <row r="207" s="440" customFormat="1" x14ac:dyDescent="0.25"/>
    <row r="208" s="440" customFormat="1" x14ac:dyDescent="0.25"/>
    <row r="209" s="440" customFormat="1" x14ac:dyDescent="0.25"/>
    <row r="210" s="440" customFormat="1" x14ac:dyDescent="0.25"/>
    <row r="211" s="440" customFormat="1" x14ac:dyDescent="0.25"/>
    <row r="212" s="440" customFormat="1" x14ac:dyDescent="0.25"/>
    <row r="213" s="440" customFormat="1" x14ac:dyDescent="0.25"/>
    <row r="214" s="440" customFormat="1" x14ac:dyDescent="0.25"/>
    <row r="215" s="440" customFormat="1" x14ac:dyDescent="0.25"/>
    <row r="216" s="440" customFormat="1" x14ac:dyDescent="0.25"/>
    <row r="217" s="440" customFormat="1" x14ac:dyDescent="0.25"/>
    <row r="218" s="440" customFormat="1" x14ac:dyDescent="0.25"/>
    <row r="219" s="440" customFormat="1" x14ac:dyDescent="0.25"/>
    <row r="220" s="440" customFormat="1" x14ac:dyDescent="0.25"/>
    <row r="221" s="440" customFormat="1" x14ac:dyDescent="0.25"/>
    <row r="222" s="440" customFormat="1" x14ac:dyDescent="0.25"/>
    <row r="223" s="440" customFormat="1" x14ac:dyDescent="0.25"/>
    <row r="224" s="440" customFormat="1" x14ac:dyDescent="0.25"/>
    <row r="225" s="440" customFormat="1" x14ac:dyDescent="0.25"/>
    <row r="226" s="440" customFormat="1" x14ac:dyDescent="0.25"/>
    <row r="227" s="440" customFormat="1" x14ac:dyDescent="0.25"/>
    <row r="228" s="440" customFormat="1" x14ac:dyDescent="0.25"/>
    <row r="229" s="440" customFormat="1" x14ac:dyDescent="0.25"/>
    <row r="230" s="440" customFormat="1" x14ac:dyDescent="0.25"/>
    <row r="231" s="440" customFormat="1" x14ac:dyDescent="0.25"/>
    <row r="232" s="440" customFormat="1" x14ac:dyDescent="0.25"/>
    <row r="233" s="440" customFormat="1" x14ac:dyDescent="0.25"/>
    <row r="234" s="440" customFormat="1" x14ac:dyDescent="0.25"/>
    <row r="235" s="440" customFormat="1" x14ac:dyDescent="0.25"/>
    <row r="236" s="440" customFormat="1" x14ac:dyDescent="0.25"/>
    <row r="237" s="440" customFormat="1" x14ac:dyDescent="0.25"/>
    <row r="238" s="440" customFormat="1" x14ac:dyDescent="0.25"/>
    <row r="239" s="440" customFormat="1" x14ac:dyDescent="0.25"/>
    <row r="240" s="440" customFormat="1" x14ac:dyDescent="0.25"/>
    <row r="241" s="440" customFormat="1" x14ac:dyDescent="0.25"/>
    <row r="242" s="440" customFormat="1" x14ac:dyDescent="0.25"/>
    <row r="243" s="440" customFormat="1" x14ac:dyDescent="0.25"/>
    <row r="244" s="440" customFormat="1" x14ac:dyDescent="0.25"/>
    <row r="245" s="440" customFormat="1" x14ac:dyDescent="0.25"/>
    <row r="246" s="440" customFormat="1" x14ac:dyDescent="0.25"/>
    <row r="247" s="440" customFormat="1" x14ac:dyDescent="0.25"/>
    <row r="248" s="440" customFormat="1" x14ac:dyDescent="0.25"/>
    <row r="249" s="440" customFormat="1" x14ac:dyDescent="0.25"/>
    <row r="250" s="440" customFormat="1" x14ac:dyDescent="0.25"/>
    <row r="251" s="440" customFormat="1" x14ac:dyDescent="0.25"/>
    <row r="252" s="440" customFormat="1" x14ac:dyDescent="0.25"/>
    <row r="253" s="440" customFormat="1" x14ac:dyDescent="0.25"/>
    <row r="254" s="440" customFormat="1" x14ac:dyDescent="0.25"/>
    <row r="255" s="440" customFormat="1" x14ac:dyDescent="0.25"/>
    <row r="256" s="440" customFormat="1" x14ac:dyDescent="0.25"/>
    <row r="257" s="440" customFormat="1" x14ac:dyDescent="0.25"/>
    <row r="258" s="440" customFormat="1" x14ac:dyDescent="0.25"/>
    <row r="259" s="440" customFormat="1" x14ac:dyDescent="0.25"/>
    <row r="260" s="440" customFormat="1" x14ac:dyDescent="0.25"/>
    <row r="261" s="440" customFormat="1" x14ac:dyDescent="0.25"/>
    <row r="262" s="440" customFormat="1" x14ac:dyDescent="0.25"/>
    <row r="263" s="440" customFormat="1" x14ac:dyDescent="0.25"/>
    <row r="264" s="440" customFormat="1" x14ac:dyDescent="0.25"/>
    <row r="265" s="440" customFormat="1" x14ac:dyDescent="0.25"/>
    <row r="266" s="440" customFormat="1" x14ac:dyDescent="0.25"/>
    <row r="267" s="440" customFormat="1" x14ac:dyDescent="0.25"/>
    <row r="268" s="440" customFormat="1" x14ac:dyDescent="0.25"/>
    <row r="269" s="440" customFormat="1" x14ac:dyDescent="0.25"/>
    <row r="270" s="440" customFormat="1" x14ac:dyDescent="0.25"/>
    <row r="271" s="440" customFormat="1" x14ac:dyDescent="0.25"/>
    <row r="272" s="440" customFormat="1" x14ac:dyDescent="0.25"/>
    <row r="273" s="440" customFormat="1" x14ac:dyDescent="0.25"/>
    <row r="274" s="440" customFormat="1" x14ac:dyDescent="0.25"/>
    <row r="275" s="440" customFormat="1" x14ac:dyDescent="0.25"/>
    <row r="276" s="440" customFormat="1" x14ac:dyDescent="0.25"/>
    <row r="277" s="440" customFormat="1" x14ac:dyDescent="0.25"/>
    <row r="278" s="440" customFormat="1" x14ac:dyDescent="0.25"/>
    <row r="279" s="440" customFormat="1" x14ac:dyDescent="0.25"/>
    <row r="280" s="440" customFormat="1" x14ac:dyDescent="0.25"/>
    <row r="281" s="440" customFormat="1" x14ac:dyDescent="0.25"/>
    <row r="282" s="440" customFormat="1" x14ac:dyDescent="0.25"/>
    <row r="283" s="440" customFormat="1" x14ac:dyDescent="0.25"/>
    <row r="284" s="440" customFormat="1" x14ac:dyDescent="0.25"/>
    <row r="285" s="440" customFormat="1" x14ac:dyDescent="0.25"/>
    <row r="286" s="440" customFormat="1" x14ac:dyDescent="0.25"/>
    <row r="287" s="440" customFormat="1" x14ac:dyDescent="0.25"/>
    <row r="288" s="440" customFormat="1" x14ac:dyDescent="0.25"/>
    <row r="289" s="440" customFormat="1" x14ac:dyDescent="0.25"/>
    <row r="290" s="440" customFormat="1" x14ac:dyDescent="0.25"/>
    <row r="291" s="440" customFormat="1" x14ac:dyDescent="0.25"/>
    <row r="292" s="440" customFormat="1" x14ac:dyDescent="0.25"/>
    <row r="293" s="440" customFormat="1" x14ac:dyDescent="0.25"/>
    <row r="294" s="440" customFormat="1" x14ac:dyDescent="0.25"/>
    <row r="295" s="440" customFormat="1" x14ac:dyDescent="0.25"/>
    <row r="296" s="440" customFormat="1" x14ac:dyDescent="0.25"/>
    <row r="297" s="440" customFormat="1" x14ac:dyDescent="0.25"/>
    <row r="298" s="440" customFormat="1" x14ac:dyDescent="0.25"/>
    <row r="299" s="440" customFormat="1" x14ac:dyDescent="0.25"/>
    <row r="300" s="440" customFormat="1" x14ac:dyDescent="0.25"/>
    <row r="301" s="440" customFormat="1" x14ac:dyDescent="0.25"/>
    <row r="302" s="440" customFormat="1" x14ac:dyDescent="0.25"/>
    <row r="303" s="440" customFormat="1" x14ac:dyDescent="0.25"/>
    <row r="304" s="440" customFormat="1" x14ac:dyDescent="0.25"/>
    <row r="305" s="440" customFormat="1" x14ac:dyDescent="0.25"/>
    <row r="306" s="440" customFormat="1" x14ac:dyDescent="0.25"/>
    <row r="307" s="440" customFormat="1" x14ac:dyDescent="0.25"/>
    <row r="308" s="440" customFormat="1" x14ac:dyDescent="0.25"/>
    <row r="309" s="440" customFormat="1" x14ac:dyDescent="0.25"/>
    <row r="310" s="440" customFormat="1" x14ac:dyDescent="0.25"/>
    <row r="311" s="440" customFormat="1" x14ac:dyDescent="0.25"/>
    <row r="312" s="440" customFormat="1" x14ac:dyDescent="0.25"/>
    <row r="313" s="440" customFormat="1" x14ac:dyDescent="0.25"/>
    <row r="314" s="440" customFormat="1" x14ac:dyDescent="0.25"/>
    <row r="315" s="440" customFormat="1" x14ac:dyDescent="0.25"/>
    <row r="316" s="440" customFormat="1" x14ac:dyDescent="0.25"/>
    <row r="317" s="440" customFormat="1" x14ac:dyDescent="0.25"/>
    <row r="318" s="440" customFormat="1" x14ac:dyDescent="0.25"/>
    <row r="319" s="440" customFormat="1" x14ac:dyDescent="0.25"/>
    <row r="320" s="440" customFormat="1" x14ac:dyDescent="0.25"/>
    <row r="321" s="440" customFormat="1" x14ac:dyDescent="0.25"/>
    <row r="322" s="440" customFormat="1" x14ac:dyDescent="0.25"/>
    <row r="323" s="440" customFormat="1" x14ac:dyDescent="0.25"/>
    <row r="324" s="440" customFormat="1" x14ac:dyDescent="0.25"/>
    <row r="325" s="440" customFormat="1" x14ac:dyDescent="0.25"/>
    <row r="326" s="440" customFormat="1" x14ac:dyDescent="0.25"/>
    <row r="327" s="440" customFormat="1" x14ac:dyDescent="0.25"/>
    <row r="328" s="440" customFormat="1" x14ac:dyDescent="0.25"/>
    <row r="329" s="440" customFormat="1" x14ac:dyDescent="0.25"/>
    <row r="330" s="440" customFormat="1" x14ac:dyDescent="0.25"/>
    <row r="331" s="440" customFormat="1" x14ac:dyDescent="0.25"/>
    <row r="332" s="440" customFormat="1" x14ac:dyDescent="0.25"/>
    <row r="333" s="440" customFormat="1" x14ac:dyDescent="0.25"/>
    <row r="334" s="440" customFormat="1" x14ac:dyDescent="0.25"/>
    <row r="335" s="440" customFormat="1" x14ac:dyDescent="0.25"/>
    <row r="336" s="440" customFormat="1" x14ac:dyDescent="0.25"/>
    <row r="337" s="440" customFormat="1" x14ac:dyDescent="0.25"/>
    <row r="338" s="440" customFormat="1" x14ac:dyDescent="0.25"/>
    <row r="339" s="440" customFormat="1" x14ac:dyDescent="0.25"/>
    <row r="340" s="440" customFormat="1" x14ac:dyDescent="0.25"/>
    <row r="341" s="440" customFormat="1" x14ac:dyDescent="0.25"/>
    <row r="342" s="440" customFormat="1" x14ac:dyDescent="0.25"/>
    <row r="343" s="440" customFormat="1" x14ac:dyDescent="0.25"/>
    <row r="344" s="440" customFormat="1" x14ac:dyDescent="0.25"/>
    <row r="345" s="440" customFormat="1" x14ac:dyDescent="0.25"/>
    <row r="346" s="440" customFormat="1" x14ac:dyDescent="0.25"/>
    <row r="347" s="440" customFormat="1" x14ac:dyDescent="0.25"/>
    <row r="348" s="440" customFormat="1" x14ac:dyDescent="0.25"/>
    <row r="349" s="440" customFormat="1" x14ac:dyDescent="0.25"/>
    <row r="350" s="440" customFormat="1" x14ac:dyDescent="0.25"/>
    <row r="351" s="440" customFormat="1" x14ac:dyDescent="0.25"/>
    <row r="352" s="440" customFormat="1" x14ac:dyDescent="0.25"/>
    <row r="353" s="440" customFormat="1" x14ac:dyDescent="0.25"/>
    <row r="354" s="440" customFormat="1" x14ac:dyDescent="0.25"/>
    <row r="355" s="440" customFormat="1" x14ac:dyDescent="0.25"/>
    <row r="356" s="440" customFormat="1" x14ac:dyDescent="0.25"/>
    <row r="357" s="440" customFormat="1" x14ac:dyDescent="0.25"/>
    <row r="358" s="440" customFormat="1" x14ac:dyDescent="0.25"/>
    <row r="359" s="440" customFormat="1" x14ac:dyDescent="0.25"/>
    <row r="360" s="440" customFormat="1" x14ac:dyDescent="0.25"/>
    <row r="361" s="440" customFormat="1" x14ac:dyDescent="0.25"/>
    <row r="362" s="440" customFormat="1" x14ac:dyDescent="0.25"/>
    <row r="363" s="440" customFormat="1" x14ac:dyDescent="0.25"/>
    <row r="364" s="440" customFormat="1" x14ac:dyDescent="0.25"/>
    <row r="365" s="440" customFormat="1" x14ac:dyDescent="0.25"/>
    <row r="366" s="440" customFormat="1" x14ac:dyDescent="0.25"/>
    <row r="367" s="440" customFormat="1" x14ac:dyDescent="0.25"/>
    <row r="368" s="440" customFormat="1" x14ac:dyDescent="0.25"/>
    <row r="369" s="440" customFormat="1" x14ac:dyDescent="0.25"/>
    <row r="370" s="440" customFormat="1" x14ac:dyDescent="0.25"/>
    <row r="371" s="440" customFormat="1" x14ac:dyDescent="0.25"/>
    <row r="372" s="440" customFormat="1" x14ac:dyDescent="0.25"/>
    <row r="373" s="440" customFormat="1" x14ac:dyDescent="0.25"/>
    <row r="374" s="440" customFormat="1" x14ac:dyDescent="0.25"/>
    <row r="375" s="440" customFormat="1" x14ac:dyDescent="0.25"/>
    <row r="376" s="440" customFormat="1" x14ac:dyDescent="0.25"/>
    <row r="377" s="440" customFormat="1" x14ac:dyDescent="0.25"/>
    <row r="378" s="440" customFormat="1" x14ac:dyDescent="0.25"/>
    <row r="379" s="440" customFormat="1" x14ac:dyDescent="0.25"/>
    <row r="380" s="440" customFormat="1" x14ac:dyDescent="0.25"/>
    <row r="381" s="440" customFormat="1" x14ac:dyDescent="0.25"/>
    <row r="382" s="440" customFormat="1" x14ac:dyDescent="0.25"/>
    <row r="383" s="440" customFormat="1" x14ac:dyDescent="0.25"/>
    <row r="384" s="440" customFormat="1" x14ac:dyDescent="0.25"/>
    <row r="385" s="440" customFormat="1" x14ac:dyDescent="0.25"/>
    <row r="386" s="440" customFormat="1" x14ac:dyDescent="0.25"/>
    <row r="387" s="440" customFormat="1" x14ac:dyDescent="0.25"/>
    <row r="388" s="440" customFormat="1" x14ac:dyDescent="0.25"/>
    <row r="389" s="440" customFormat="1" x14ac:dyDescent="0.25"/>
    <row r="390" s="440" customFormat="1" x14ac:dyDescent="0.25"/>
    <row r="391" s="440" customFormat="1" x14ac:dyDescent="0.25"/>
    <row r="392" s="440" customFormat="1" x14ac:dyDescent="0.25"/>
    <row r="393" s="440" customFormat="1" x14ac:dyDescent="0.25"/>
    <row r="394" s="440" customFormat="1" x14ac:dyDescent="0.25"/>
    <row r="395" s="440" customFormat="1" x14ac:dyDescent="0.25"/>
    <row r="396" s="440" customFormat="1" x14ac:dyDescent="0.25"/>
    <row r="397" s="440" customFormat="1" x14ac:dyDescent="0.25"/>
    <row r="398" s="440" customFormat="1" x14ac:dyDescent="0.25"/>
    <row r="399" s="440" customFormat="1" x14ac:dyDescent="0.25"/>
    <row r="400" s="440" customFormat="1" x14ac:dyDescent="0.25"/>
    <row r="401" s="440" customFormat="1" x14ac:dyDescent="0.25"/>
    <row r="402" s="440" customFormat="1" x14ac:dyDescent="0.25"/>
    <row r="403" s="440" customFormat="1" x14ac:dyDescent="0.25"/>
    <row r="404" s="440" customFormat="1" x14ac:dyDescent="0.25"/>
    <row r="405" s="440" customFormat="1" x14ac:dyDescent="0.25"/>
    <row r="406" s="440" customFormat="1" x14ac:dyDescent="0.25"/>
    <row r="407" s="440" customFormat="1" x14ac:dyDescent="0.25"/>
    <row r="408" s="440" customFormat="1" x14ac:dyDescent="0.25"/>
    <row r="409" s="440" customFormat="1" x14ac:dyDescent="0.25"/>
    <row r="410" s="440" customFormat="1" x14ac:dyDescent="0.25"/>
    <row r="411" s="440" customFormat="1" x14ac:dyDescent="0.25"/>
    <row r="412" s="440" customFormat="1" x14ac:dyDescent="0.25"/>
    <row r="413" s="440" customFormat="1" x14ac:dyDescent="0.25"/>
    <row r="414" s="440" customFormat="1" x14ac:dyDescent="0.25"/>
    <row r="415" s="440" customFormat="1" x14ac:dyDescent="0.25"/>
    <row r="416" s="440" customFormat="1" x14ac:dyDescent="0.25"/>
    <row r="417" s="440" customFormat="1" x14ac:dyDescent="0.25"/>
    <row r="418" s="440" customFormat="1" x14ac:dyDescent="0.25"/>
    <row r="419" s="440" customFormat="1" x14ac:dyDescent="0.25"/>
    <row r="420" s="440" customFormat="1" x14ac:dyDescent="0.25"/>
    <row r="421" s="440" customFormat="1" x14ac:dyDescent="0.25"/>
    <row r="422" s="440" customFormat="1" x14ac:dyDescent="0.25"/>
    <row r="423" s="440" customFormat="1" x14ac:dyDescent="0.25"/>
    <row r="424" s="440" customFormat="1" x14ac:dyDescent="0.25"/>
    <row r="425" s="440" customFormat="1" x14ac:dyDescent="0.25"/>
    <row r="426" s="440" customFormat="1" x14ac:dyDescent="0.25"/>
    <row r="427" s="440" customFormat="1" x14ac:dyDescent="0.25"/>
    <row r="428" s="440" customFormat="1" x14ac:dyDescent="0.25"/>
    <row r="429" s="440" customFormat="1" x14ac:dyDescent="0.25"/>
    <row r="430" s="440" customFormat="1" x14ac:dyDescent="0.25"/>
    <row r="431" s="440" customFormat="1" x14ac:dyDescent="0.25"/>
    <row r="432" s="440" customFormat="1" x14ac:dyDescent="0.25"/>
    <row r="433" s="440" customFormat="1" x14ac:dyDescent="0.25"/>
    <row r="434" s="440" customFormat="1" x14ac:dyDescent="0.25"/>
    <row r="435" s="440" customFormat="1" x14ac:dyDescent="0.25"/>
    <row r="436" s="440" customFormat="1" x14ac:dyDescent="0.25"/>
    <row r="437" s="440" customFormat="1" x14ac:dyDescent="0.25"/>
    <row r="438" s="440" customFormat="1" x14ac:dyDescent="0.25"/>
    <row r="439" s="440" customFormat="1" x14ac:dyDescent="0.25"/>
    <row r="440" s="440" customFormat="1" x14ac:dyDescent="0.25"/>
    <row r="441" s="440" customFormat="1" x14ac:dyDescent="0.25"/>
    <row r="442" s="440" customFormat="1" x14ac:dyDescent="0.25"/>
    <row r="443" s="440" customFormat="1" x14ac:dyDescent="0.25"/>
    <row r="444" s="440" customFormat="1" x14ac:dyDescent="0.25"/>
    <row r="445" s="440" customFormat="1" x14ac:dyDescent="0.25"/>
    <row r="446" s="440" customFormat="1" x14ac:dyDescent="0.25"/>
    <row r="447" s="440" customFormat="1" x14ac:dyDescent="0.25"/>
    <row r="448" s="440" customFormat="1" x14ac:dyDescent="0.25"/>
    <row r="449" s="440" customFormat="1" x14ac:dyDescent="0.25"/>
    <row r="450" s="440" customFormat="1" x14ac:dyDescent="0.25"/>
    <row r="451" s="440" customFormat="1" x14ac:dyDescent="0.25"/>
    <row r="452" s="440" customFormat="1" x14ac:dyDescent="0.25"/>
    <row r="453" s="440" customFormat="1" x14ac:dyDescent="0.25"/>
    <row r="454" s="440" customFormat="1" x14ac:dyDescent="0.25"/>
    <row r="455" s="440" customFormat="1" x14ac:dyDescent="0.25"/>
    <row r="456" s="440" customFormat="1" x14ac:dyDescent="0.25"/>
    <row r="457" s="440" customFormat="1" x14ac:dyDescent="0.25"/>
    <row r="458" s="440" customFormat="1" x14ac:dyDescent="0.25"/>
    <row r="459" s="440" customFormat="1" x14ac:dyDescent="0.25"/>
    <row r="460" s="440" customFormat="1" x14ac:dyDescent="0.25"/>
    <row r="461" s="440" customFormat="1" x14ac:dyDescent="0.25"/>
    <row r="462" s="440" customFormat="1" x14ac:dyDescent="0.25"/>
    <row r="463" s="440" customFormat="1" x14ac:dyDescent="0.25"/>
    <row r="464" s="440" customFormat="1" x14ac:dyDescent="0.25"/>
    <row r="465" s="440" customFormat="1" x14ac:dyDescent="0.25"/>
    <row r="466" s="440" customFormat="1" x14ac:dyDescent="0.25"/>
    <row r="467" s="440" customFormat="1" x14ac:dyDescent="0.25"/>
    <row r="468" s="440" customFormat="1" x14ac:dyDescent="0.25"/>
    <row r="469" s="440" customFormat="1" x14ac:dyDescent="0.25"/>
    <row r="470" s="440" customFormat="1" x14ac:dyDescent="0.25"/>
    <row r="471" s="440" customFormat="1" x14ac:dyDescent="0.25"/>
    <row r="472" s="440" customFormat="1" x14ac:dyDescent="0.25"/>
    <row r="473" s="440" customFormat="1" x14ac:dyDescent="0.25"/>
    <row r="474" s="440" customFormat="1" x14ac:dyDescent="0.25"/>
    <row r="475" s="440" customFormat="1" x14ac:dyDescent="0.25"/>
    <row r="476" s="440" customFormat="1" x14ac:dyDescent="0.25"/>
    <row r="477" s="440" customFormat="1" x14ac:dyDescent="0.25"/>
    <row r="478" s="440" customFormat="1" x14ac:dyDescent="0.25"/>
    <row r="479" s="440" customFormat="1" x14ac:dyDescent="0.25"/>
    <row r="480" s="440" customFormat="1" x14ac:dyDescent="0.25"/>
    <row r="481" s="440" customFormat="1" x14ac:dyDescent="0.25"/>
    <row r="482" s="440" customFormat="1" x14ac:dyDescent="0.25"/>
    <row r="483" s="440" customFormat="1" x14ac:dyDescent="0.25"/>
    <row r="484" s="440" customFormat="1" x14ac:dyDescent="0.25"/>
    <row r="485" s="440" customFormat="1" x14ac:dyDescent="0.25"/>
    <row r="486" s="440" customFormat="1" x14ac:dyDescent="0.25"/>
    <row r="487" s="440" customFormat="1" x14ac:dyDescent="0.25"/>
    <row r="488" s="440" customFormat="1" x14ac:dyDescent="0.25"/>
    <row r="489" s="440" customFormat="1" x14ac:dyDescent="0.25"/>
    <row r="490" s="440" customFormat="1" x14ac:dyDescent="0.25"/>
    <row r="491" s="440" customFormat="1" x14ac:dyDescent="0.25"/>
    <row r="492" s="440" customFormat="1" x14ac:dyDescent="0.25"/>
    <row r="493" s="440" customFormat="1" x14ac:dyDescent="0.25"/>
    <row r="494" s="440" customFormat="1" x14ac:dyDescent="0.25"/>
    <row r="495" s="440" customFormat="1" x14ac:dyDescent="0.25"/>
    <row r="496" s="440" customFormat="1" x14ac:dyDescent="0.25"/>
    <row r="497" s="440" customFormat="1" x14ac:dyDescent="0.25"/>
  </sheetData>
  <mergeCells count="33">
    <mergeCell ref="B31:K31"/>
    <mergeCell ref="B32:C32"/>
    <mergeCell ref="D32:E32"/>
    <mergeCell ref="F32:G32"/>
    <mergeCell ref="H32:I32"/>
    <mergeCell ref="J32:K32"/>
    <mergeCell ref="B27:K27"/>
    <mergeCell ref="M27:Q27"/>
    <mergeCell ref="S27:X27"/>
    <mergeCell ref="B28:C30"/>
    <mergeCell ref="M28:P29"/>
    <mergeCell ref="Q28:Q29"/>
    <mergeCell ref="S28:S29"/>
    <mergeCell ref="X28:X29"/>
    <mergeCell ref="M6:N6"/>
    <mergeCell ref="S6:S7"/>
    <mergeCell ref="T6:U6"/>
    <mergeCell ref="X6:X7"/>
    <mergeCell ref="B20:B21"/>
    <mergeCell ref="C20:C21"/>
    <mergeCell ref="B6:B7"/>
    <mergeCell ref="C6:C7"/>
    <mergeCell ref="D6:E6"/>
    <mergeCell ref="F6:G6"/>
    <mergeCell ref="H6:I6"/>
    <mergeCell ref="J6:K6"/>
    <mergeCell ref="B2:P2"/>
    <mergeCell ref="B4:K4"/>
    <mergeCell ref="M4:Q4"/>
    <mergeCell ref="S4:X4"/>
    <mergeCell ref="B5:K5"/>
    <mergeCell ref="M5:Q5"/>
    <mergeCell ref="S5:X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5C701-3022-423E-B2AF-29AF9BD661BD}">
  <dimension ref="B2:P50"/>
  <sheetViews>
    <sheetView topLeftCell="A22" zoomScale="90" zoomScaleNormal="90" workbookViewId="0">
      <selection activeCell="K27" sqref="K27"/>
    </sheetView>
  </sheetViews>
  <sheetFormatPr baseColWidth="10" defaultRowHeight="14.25" x14ac:dyDescent="0.2"/>
  <cols>
    <col min="1" max="1" width="8.140625" style="512" customWidth="1"/>
    <col min="2" max="2" width="14" style="512" customWidth="1"/>
    <col min="3" max="3" width="13.85546875" style="512" customWidth="1"/>
    <col min="4" max="4" width="15.7109375" style="512" customWidth="1"/>
    <col min="5" max="5" width="23.7109375" style="512" customWidth="1"/>
    <col min="6" max="6" width="18" style="512" customWidth="1"/>
    <col min="7" max="8" width="21.5703125" style="512" customWidth="1"/>
    <col min="9" max="9" width="18.7109375" style="512" customWidth="1"/>
    <col min="10" max="10" width="23.140625" style="512" customWidth="1"/>
    <col min="11" max="11" width="17.42578125" style="512" customWidth="1"/>
    <col min="12" max="12" width="23.85546875" style="512" customWidth="1"/>
    <col min="13" max="14" width="11.42578125" style="512"/>
    <col min="15" max="15" width="13.7109375" style="512" bestFit="1" customWidth="1"/>
    <col min="16" max="16" width="14" style="512" bestFit="1" customWidth="1"/>
    <col min="17" max="16384" width="11.42578125" style="512"/>
  </cols>
  <sheetData>
    <row r="2" spans="2:12" ht="15" x14ac:dyDescent="0.25">
      <c r="B2" s="511" t="s">
        <v>199</v>
      </c>
      <c r="C2" s="511" t="s">
        <v>200</v>
      </c>
      <c r="D2" s="511" t="s">
        <v>201</v>
      </c>
      <c r="E2" s="511" t="s">
        <v>202</v>
      </c>
      <c r="F2" s="511" t="s">
        <v>203</v>
      </c>
      <c r="G2" s="511" t="s">
        <v>204</v>
      </c>
      <c r="H2" s="511" t="s">
        <v>205</v>
      </c>
      <c r="I2" s="511" t="s">
        <v>206</v>
      </c>
      <c r="J2" s="511" t="s">
        <v>207</v>
      </c>
      <c r="K2" s="511" t="s">
        <v>208</v>
      </c>
      <c r="L2" s="511" t="s">
        <v>209</v>
      </c>
    </row>
    <row r="3" spans="2:12" x14ac:dyDescent="0.2">
      <c r="B3" s="513">
        <f>0.58*0.001</f>
        <v>5.8E-4</v>
      </c>
      <c r="C3" s="513">
        <f>3*0.0254</f>
        <v>7.619999999999999E-2</v>
      </c>
      <c r="D3" s="514">
        <f>+B3/((PI()*(C3^2))/4)</f>
        <v>0.12718273777846573</v>
      </c>
      <c r="E3" s="515">
        <f>+(D3^2)/(2*9.806)</f>
        <v>8.2477303634641915E-4</v>
      </c>
      <c r="F3" s="515">
        <f>+((B3)/(0.2785*150*(C3^2.63)))^(1/0.54)</f>
        <v>2.8180219467010306E-4</v>
      </c>
      <c r="G3" s="513">
        <v>32.799999999999997</v>
      </c>
      <c r="H3" s="513">
        <f>+G3*F3</f>
        <v>9.2431119851793791E-3</v>
      </c>
      <c r="I3" s="513">
        <v>449.33</v>
      </c>
      <c r="J3" s="513">
        <f>+I3*F3</f>
        <v>0.1266221801311174</v>
      </c>
      <c r="K3" s="516">
        <f>+J3+H3</f>
        <v>0.13586529211629678</v>
      </c>
      <c r="L3" s="517">
        <f>+K3+E3+40.61</f>
        <v>40.746690065152642</v>
      </c>
    </row>
    <row r="4" spans="2:12" x14ac:dyDescent="0.2">
      <c r="B4" s="513">
        <v>5.0000000000000001E-4</v>
      </c>
      <c r="C4" s="513">
        <f t="shared" ref="C4:C25" si="0">3*0.0254</f>
        <v>7.619999999999999E-2</v>
      </c>
      <c r="D4" s="518">
        <f t="shared" ref="D4:D25" si="1">+B4/((PI()*(C4^2))/4)</f>
        <v>0.10964029118833252</v>
      </c>
      <c r="E4" s="515">
        <f t="shared" ref="E4:E25" si="2">+(D4^2)/(2*9.806)</f>
        <v>6.1294072261178592E-4</v>
      </c>
      <c r="F4" s="515">
        <f t="shared" ref="F4:F25" si="3">+((B4)/(0.2785*150*(C4^2.63)))^(1/0.54)</f>
        <v>2.1408080263147868E-4</v>
      </c>
      <c r="G4" s="513">
        <v>32.799999999999997</v>
      </c>
      <c r="H4" s="519">
        <f t="shared" ref="H4:H25" si="4">+G4*F4</f>
        <v>7.0218503263125001E-3</v>
      </c>
      <c r="I4" s="513">
        <v>449.33</v>
      </c>
      <c r="J4" s="515">
        <f t="shared" ref="J4:J25" si="5">+I4*F4</f>
        <v>9.619292704640231E-2</v>
      </c>
      <c r="K4" s="515">
        <f t="shared" ref="K4:K25" si="6">+J4+H4</f>
        <v>0.10321477737271481</v>
      </c>
      <c r="L4" s="517">
        <f t="shared" ref="L4:L25" si="7">+K4+E4+40.61</f>
        <v>40.713827718095324</v>
      </c>
    </row>
    <row r="5" spans="2:12" x14ac:dyDescent="0.2">
      <c r="B5" s="513">
        <v>5.8E-4</v>
      </c>
      <c r="C5" s="513">
        <f t="shared" si="0"/>
        <v>7.619999999999999E-2</v>
      </c>
      <c r="D5" s="518">
        <f t="shared" si="1"/>
        <v>0.12718273777846573</v>
      </c>
      <c r="E5" s="515">
        <f t="shared" si="2"/>
        <v>8.2477303634641915E-4</v>
      </c>
      <c r="F5" s="515">
        <f t="shared" si="3"/>
        <v>2.8180219467010306E-4</v>
      </c>
      <c r="G5" s="513">
        <v>32.799999999999997</v>
      </c>
      <c r="H5" s="519">
        <f t="shared" si="4"/>
        <v>9.2431119851793791E-3</v>
      </c>
      <c r="I5" s="513">
        <v>449.33</v>
      </c>
      <c r="J5" s="515">
        <f t="shared" si="5"/>
        <v>0.1266221801311174</v>
      </c>
      <c r="K5" s="515">
        <f t="shared" si="6"/>
        <v>0.13586529211629678</v>
      </c>
      <c r="L5" s="517">
        <f t="shared" si="7"/>
        <v>40.746690065152642</v>
      </c>
    </row>
    <row r="6" spans="2:12" x14ac:dyDescent="0.2">
      <c r="B6" s="516">
        <v>1E-3</v>
      </c>
      <c r="C6" s="520">
        <f t="shared" si="0"/>
        <v>7.619999999999999E-2</v>
      </c>
      <c r="D6" s="518">
        <f t="shared" si="1"/>
        <v>0.21928058237666503</v>
      </c>
      <c r="E6" s="515">
        <f t="shared" si="2"/>
        <v>2.4517628904471437E-3</v>
      </c>
      <c r="F6" s="515">
        <f t="shared" si="3"/>
        <v>7.7275296354771452E-4</v>
      </c>
      <c r="G6" s="513">
        <v>32.799999999999997</v>
      </c>
      <c r="H6" s="519">
        <f t="shared" si="4"/>
        <v>2.5346297204365036E-2</v>
      </c>
      <c r="I6" s="513">
        <v>449.33</v>
      </c>
      <c r="J6" s="515">
        <f t="shared" si="5"/>
        <v>0.34722108911089455</v>
      </c>
      <c r="K6" s="515">
        <f t="shared" si="6"/>
        <v>0.3725673863152596</v>
      </c>
      <c r="L6" s="517">
        <f t="shared" si="7"/>
        <v>40.985019149205705</v>
      </c>
    </row>
    <row r="7" spans="2:12" x14ac:dyDescent="0.2">
      <c r="B7" s="516">
        <v>1.5E-3</v>
      </c>
      <c r="C7" s="520">
        <f t="shared" si="0"/>
        <v>7.619999999999999E-2</v>
      </c>
      <c r="D7" s="518">
        <f t="shared" si="1"/>
        <v>0.32892087356499755</v>
      </c>
      <c r="E7" s="515">
        <f t="shared" si="2"/>
        <v>5.5164665035060739E-3</v>
      </c>
      <c r="F7" s="515">
        <f t="shared" si="3"/>
        <v>1.6373276783605585E-3</v>
      </c>
      <c r="G7" s="513">
        <v>32.799999999999997</v>
      </c>
      <c r="H7" s="519">
        <f t="shared" si="4"/>
        <v>5.3704347850226312E-2</v>
      </c>
      <c r="I7" s="513">
        <v>449.33</v>
      </c>
      <c r="J7" s="515">
        <f t="shared" si="5"/>
        <v>0.73570044571774973</v>
      </c>
      <c r="K7" s="515">
        <f t="shared" si="6"/>
        <v>0.78940479356797599</v>
      </c>
      <c r="L7" s="517">
        <f t="shared" si="7"/>
        <v>41.404921260071482</v>
      </c>
    </row>
    <row r="8" spans="2:12" x14ac:dyDescent="0.2">
      <c r="B8" s="516">
        <v>2E-3</v>
      </c>
      <c r="C8" s="520">
        <f t="shared" si="0"/>
        <v>7.619999999999999E-2</v>
      </c>
      <c r="D8" s="518">
        <f t="shared" si="1"/>
        <v>0.43856116475333007</v>
      </c>
      <c r="E8" s="515">
        <f t="shared" si="2"/>
        <v>9.8070515617885747E-3</v>
      </c>
      <c r="F8" s="515">
        <f t="shared" si="3"/>
        <v>2.7893539977973288E-3</v>
      </c>
      <c r="G8" s="513">
        <v>32.799999999999997</v>
      </c>
      <c r="H8" s="519">
        <f t="shared" si="4"/>
        <v>9.1490811127752369E-2</v>
      </c>
      <c r="I8" s="513">
        <v>449.33</v>
      </c>
      <c r="J8" s="515">
        <f t="shared" si="5"/>
        <v>1.2533404318302737</v>
      </c>
      <c r="K8" s="515">
        <f t="shared" si="6"/>
        <v>1.344831242958026</v>
      </c>
      <c r="L8" s="517">
        <f t="shared" si="7"/>
        <v>41.964638294519816</v>
      </c>
    </row>
    <row r="9" spans="2:12" x14ac:dyDescent="0.2">
      <c r="B9" s="516">
        <v>2.5000000000000001E-3</v>
      </c>
      <c r="C9" s="520">
        <f t="shared" si="0"/>
        <v>7.619999999999999E-2</v>
      </c>
      <c r="D9" s="518">
        <f t="shared" si="1"/>
        <v>0.54820145594166259</v>
      </c>
      <c r="E9" s="515">
        <f t="shared" si="2"/>
        <v>1.5323518065294649E-2</v>
      </c>
      <c r="F9" s="515">
        <f t="shared" si="3"/>
        <v>4.2166409418727792E-3</v>
      </c>
      <c r="G9" s="513">
        <v>32.799999999999997</v>
      </c>
      <c r="H9" s="519">
        <f t="shared" si="4"/>
        <v>0.13830582289342713</v>
      </c>
      <c r="I9" s="513">
        <v>449.33</v>
      </c>
      <c r="J9" s="515">
        <f t="shared" si="5"/>
        <v>1.8946632744116958</v>
      </c>
      <c r="K9" s="515">
        <f t="shared" si="6"/>
        <v>2.0329690973051231</v>
      </c>
      <c r="L9" s="517">
        <f t="shared" si="7"/>
        <v>42.658292615370414</v>
      </c>
    </row>
    <row r="10" spans="2:12" x14ac:dyDescent="0.2">
      <c r="B10" s="516">
        <v>3.0000000000000001E-3</v>
      </c>
      <c r="C10" s="520">
        <f t="shared" si="0"/>
        <v>7.619999999999999E-2</v>
      </c>
      <c r="D10" s="518">
        <f t="shared" si="1"/>
        <v>0.6578417471299951</v>
      </c>
      <c r="E10" s="515">
        <f t="shared" si="2"/>
        <v>2.2065866014024296E-2</v>
      </c>
      <c r="F10" s="515">
        <f t="shared" si="3"/>
        <v>5.9101507477521808E-3</v>
      </c>
      <c r="G10" s="513">
        <v>32.799999999999997</v>
      </c>
      <c r="H10" s="519">
        <f t="shared" si="4"/>
        <v>0.19385294452627153</v>
      </c>
      <c r="I10" s="513">
        <v>449.33</v>
      </c>
      <c r="J10" s="515">
        <f t="shared" si="5"/>
        <v>2.6556080354874871</v>
      </c>
      <c r="K10" s="515">
        <f t="shared" si="6"/>
        <v>2.8494609800137587</v>
      </c>
      <c r="L10" s="517">
        <f t="shared" si="7"/>
        <v>43.481526846027784</v>
      </c>
    </row>
    <row r="11" spans="2:12" x14ac:dyDescent="0.2">
      <c r="B11" s="516">
        <v>3.5000000000000001E-3</v>
      </c>
      <c r="C11" s="520">
        <f t="shared" si="0"/>
        <v>7.619999999999999E-2</v>
      </c>
      <c r="D11" s="518">
        <f t="shared" si="1"/>
        <v>0.76748203831832762</v>
      </c>
      <c r="E11" s="515">
        <f t="shared" si="2"/>
        <v>3.003409540797751E-2</v>
      </c>
      <c r="F11" s="515">
        <f t="shared" si="3"/>
        <v>7.8627432553788606E-3</v>
      </c>
      <c r="G11" s="513">
        <v>32.799999999999997</v>
      </c>
      <c r="H11" s="519">
        <f t="shared" si="4"/>
        <v>0.25789797877642662</v>
      </c>
      <c r="I11" s="513">
        <v>449.33</v>
      </c>
      <c r="J11" s="515">
        <f t="shared" si="5"/>
        <v>3.5329664269393835</v>
      </c>
      <c r="K11" s="515">
        <f t="shared" si="6"/>
        <v>3.7908644057158103</v>
      </c>
      <c r="L11" s="517">
        <f t="shared" si="7"/>
        <v>44.430898501123785</v>
      </c>
    </row>
    <row r="12" spans="2:12" x14ac:dyDescent="0.2">
      <c r="B12" s="516">
        <v>4.0000000000000001E-3</v>
      </c>
      <c r="C12" s="520">
        <f t="shared" si="0"/>
        <v>7.619999999999999E-2</v>
      </c>
      <c r="D12" s="518">
        <f t="shared" si="1"/>
        <v>0.87712232950666014</v>
      </c>
      <c r="E12" s="515">
        <f t="shared" si="2"/>
        <v>3.9228206247154299E-2</v>
      </c>
      <c r="F12" s="515">
        <f t="shared" si="3"/>
        <v>1.0068542072368925E-2</v>
      </c>
      <c r="G12" s="513">
        <v>32.799999999999997</v>
      </c>
      <c r="H12" s="519">
        <f t="shared" si="4"/>
        <v>0.33024817997370071</v>
      </c>
      <c r="I12" s="513">
        <v>449.33</v>
      </c>
      <c r="J12" s="515">
        <f t="shared" si="5"/>
        <v>4.5240980093775285</v>
      </c>
      <c r="K12" s="515">
        <f t="shared" si="6"/>
        <v>4.8543461893512294</v>
      </c>
      <c r="L12" s="517">
        <f t="shared" si="7"/>
        <v>45.503574395598385</v>
      </c>
    </row>
    <row r="13" spans="2:12" x14ac:dyDescent="0.2">
      <c r="B13" s="516">
        <v>4.5000000000000005E-3</v>
      </c>
      <c r="C13" s="520">
        <f t="shared" si="0"/>
        <v>7.619999999999999E-2</v>
      </c>
      <c r="D13" s="518">
        <f t="shared" si="1"/>
        <v>0.98676262069499276</v>
      </c>
      <c r="E13" s="515">
        <f t="shared" si="2"/>
        <v>4.9648198531554673E-2</v>
      </c>
      <c r="F13" s="515">
        <f t="shared" si="3"/>
        <v>1.2522570419078671E-2</v>
      </c>
      <c r="G13" s="513">
        <v>32.799999999999997</v>
      </c>
      <c r="H13" s="519">
        <f t="shared" si="4"/>
        <v>0.41074030974578041</v>
      </c>
      <c r="I13" s="513">
        <v>449.33</v>
      </c>
      <c r="J13" s="515">
        <f t="shared" si="5"/>
        <v>5.6267665664046191</v>
      </c>
      <c r="K13" s="515">
        <f t="shared" si="6"/>
        <v>6.0375068761503998</v>
      </c>
      <c r="L13" s="517">
        <f t="shared" si="7"/>
        <v>46.697155074681952</v>
      </c>
    </row>
    <row r="14" spans="2:12" x14ac:dyDescent="0.2">
      <c r="B14" s="516">
        <v>5.0000000000000001E-3</v>
      </c>
      <c r="C14" s="520">
        <f t="shared" si="0"/>
        <v>7.619999999999999E-2</v>
      </c>
      <c r="D14" s="518">
        <f t="shared" si="1"/>
        <v>1.0964029118833252</v>
      </c>
      <c r="E14" s="515">
        <f t="shared" si="2"/>
        <v>6.1294072261178598E-2</v>
      </c>
      <c r="F14" s="515">
        <f t="shared" si="3"/>
        <v>1.5220523017460404E-2</v>
      </c>
      <c r="G14" s="513">
        <v>32.799999999999997</v>
      </c>
      <c r="H14" s="519">
        <f t="shared" si="4"/>
        <v>0.49923315497270121</v>
      </c>
      <c r="I14" s="513">
        <v>449.33</v>
      </c>
      <c r="J14" s="515">
        <f t="shared" si="5"/>
        <v>6.8390376074354835</v>
      </c>
      <c r="K14" s="515">
        <f t="shared" si="6"/>
        <v>7.3382707624081851</v>
      </c>
      <c r="L14" s="517">
        <f t="shared" si="7"/>
        <v>48.009564834669362</v>
      </c>
    </row>
    <row r="15" spans="2:12" x14ac:dyDescent="0.2">
      <c r="B15" s="516">
        <v>5.4999999999999997E-3</v>
      </c>
      <c r="C15" s="520">
        <f t="shared" si="0"/>
        <v>7.619999999999999E-2</v>
      </c>
      <c r="D15" s="518">
        <f t="shared" si="1"/>
        <v>1.2060432030716577</v>
      </c>
      <c r="E15" s="515">
        <f t="shared" si="2"/>
        <v>7.4165827436026094E-2</v>
      </c>
      <c r="F15" s="515">
        <f t="shared" si="3"/>
        <v>1.8158613999407474E-2</v>
      </c>
      <c r="G15" s="513">
        <v>32.799999999999997</v>
      </c>
      <c r="H15" s="519">
        <f t="shared" si="4"/>
        <v>0.59560253918056505</v>
      </c>
      <c r="I15" s="513">
        <v>449.33</v>
      </c>
      <c r="J15" s="515">
        <f t="shared" si="5"/>
        <v>8.1592100283537601</v>
      </c>
      <c r="K15" s="515">
        <f t="shared" si="6"/>
        <v>8.7548125675343247</v>
      </c>
      <c r="L15" s="517">
        <f t="shared" si="7"/>
        <v>49.438978394970349</v>
      </c>
    </row>
    <row r="16" spans="2:12" x14ac:dyDescent="0.2">
      <c r="B16" s="516">
        <v>6.0000000000000001E-3</v>
      </c>
      <c r="C16" s="520">
        <f t="shared" si="0"/>
        <v>7.619999999999999E-2</v>
      </c>
      <c r="D16" s="518">
        <f t="shared" si="1"/>
        <v>1.3156834942599902</v>
      </c>
      <c r="E16" s="515">
        <f t="shared" si="2"/>
        <v>8.8263464056097182E-2</v>
      </c>
      <c r="F16" s="515">
        <f t="shared" si="3"/>
        <v>2.1333470583072681E-2</v>
      </c>
      <c r="G16" s="513">
        <v>32.799999999999997</v>
      </c>
      <c r="H16" s="519">
        <f t="shared" si="4"/>
        <v>0.69973783512478382</v>
      </c>
      <c r="I16" s="513">
        <v>449.33</v>
      </c>
      <c r="J16" s="515">
        <f t="shared" si="5"/>
        <v>9.5857683370920466</v>
      </c>
      <c r="K16" s="515">
        <f t="shared" si="6"/>
        <v>10.285506172216831</v>
      </c>
      <c r="L16" s="517">
        <f t="shared" si="7"/>
        <v>50.983769636272925</v>
      </c>
    </row>
    <row r="17" spans="2:16" x14ac:dyDescent="0.2">
      <c r="B17" s="516">
        <v>6.5000000000000006E-3</v>
      </c>
      <c r="C17" s="520">
        <f t="shared" si="0"/>
        <v>7.619999999999999E-2</v>
      </c>
      <c r="D17" s="518">
        <f t="shared" si="1"/>
        <v>1.4253237854483229</v>
      </c>
      <c r="E17" s="515">
        <f t="shared" si="2"/>
        <v>0.10358698212139186</v>
      </c>
      <c r="F17" s="515">
        <f t="shared" si="3"/>
        <v>2.474205592302603E-2</v>
      </c>
      <c r="G17" s="513">
        <v>32.799999999999997</v>
      </c>
      <c r="H17" s="519">
        <f t="shared" si="4"/>
        <v>0.81153943427525366</v>
      </c>
      <c r="I17" s="513">
        <v>449.33</v>
      </c>
      <c r="J17" s="515">
        <f t="shared" si="5"/>
        <v>11.117347987893286</v>
      </c>
      <c r="K17" s="515">
        <f t="shared" si="6"/>
        <v>11.92888742216854</v>
      </c>
      <c r="L17" s="517">
        <f t="shared" si="7"/>
        <v>52.642474404289928</v>
      </c>
    </row>
    <row r="18" spans="2:16" x14ac:dyDescent="0.2">
      <c r="B18" s="516">
        <v>7.0000000000000001E-3</v>
      </c>
      <c r="C18" s="520">
        <f t="shared" si="0"/>
        <v>7.619999999999999E-2</v>
      </c>
      <c r="D18" s="518">
        <f t="shared" si="1"/>
        <v>1.5349640766366552</v>
      </c>
      <c r="E18" s="515">
        <f t="shared" si="2"/>
        <v>0.12013638163191004</v>
      </c>
      <c r="F18" s="515">
        <f t="shared" si="3"/>
        <v>2.8381611417386425E-2</v>
      </c>
      <c r="G18" s="513">
        <v>32.799999999999997</v>
      </c>
      <c r="H18" s="519">
        <f t="shared" si="4"/>
        <v>0.93091685449027461</v>
      </c>
      <c r="I18" s="513">
        <v>449.33</v>
      </c>
      <c r="J18" s="515">
        <f t="shared" si="5"/>
        <v>12.752709458174241</v>
      </c>
      <c r="K18" s="515">
        <f t="shared" si="6"/>
        <v>13.683626312664515</v>
      </c>
      <c r="L18" s="517">
        <f t="shared" si="7"/>
        <v>54.413762694296423</v>
      </c>
    </row>
    <row r="19" spans="2:16" x14ac:dyDescent="0.2">
      <c r="B19" s="516">
        <v>7.4999999999999997E-3</v>
      </c>
      <c r="C19" s="520">
        <f t="shared" si="0"/>
        <v>7.619999999999999E-2</v>
      </c>
      <c r="D19" s="518">
        <f t="shared" si="1"/>
        <v>1.6446043678249878</v>
      </c>
      <c r="E19" s="515">
        <f t="shared" si="2"/>
        <v>0.13791166258765183</v>
      </c>
      <c r="F19" s="515">
        <f t="shared" si="3"/>
        <v>3.2249612477963784E-2</v>
      </c>
      <c r="G19" s="513">
        <v>32.799999999999997</v>
      </c>
      <c r="H19" s="519">
        <f t="shared" si="4"/>
        <v>1.057787289277212</v>
      </c>
      <c r="I19" s="513">
        <v>449.33</v>
      </c>
      <c r="J19" s="515">
        <f t="shared" si="5"/>
        <v>14.490718374723466</v>
      </c>
      <c r="K19" s="515">
        <f t="shared" si="6"/>
        <v>15.548505664000677</v>
      </c>
      <c r="L19" s="517">
        <f t="shared" si="7"/>
        <v>56.296417326588326</v>
      </c>
    </row>
    <row r="20" spans="2:16" x14ac:dyDescent="0.2">
      <c r="B20" s="516">
        <v>8.0000000000000002E-3</v>
      </c>
      <c r="C20" s="520">
        <f t="shared" si="0"/>
        <v>7.619999999999999E-2</v>
      </c>
      <c r="D20" s="518">
        <f t="shared" si="1"/>
        <v>1.7542446590133203</v>
      </c>
      <c r="E20" s="515">
        <f t="shared" si="2"/>
        <v>0.15691282498861719</v>
      </c>
      <c r="F20" s="515">
        <f t="shared" si="3"/>
        <v>3.6343733905096452E-2</v>
      </c>
      <c r="G20" s="513">
        <v>32.799999999999997</v>
      </c>
      <c r="H20" s="519">
        <f t="shared" si="4"/>
        <v>1.1920744720871634</v>
      </c>
      <c r="I20" s="513">
        <v>449.33</v>
      </c>
      <c r="J20" s="515">
        <f t="shared" si="5"/>
        <v>16.330329955576989</v>
      </c>
      <c r="K20" s="515">
        <f t="shared" si="6"/>
        <v>17.522404427664153</v>
      </c>
      <c r="L20" s="517">
        <f t="shared" si="7"/>
        <v>58.289317252652765</v>
      </c>
    </row>
    <row r="21" spans="2:16" x14ac:dyDescent="0.2">
      <c r="B21" s="516">
        <v>8.5000000000000006E-3</v>
      </c>
      <c r="C21" s="520">
        <f t="shared" si="0"/>
        <v>7.619999999999999E-2</v>
      </c>
      <c r="D21" s="518">
        <f t="shared" si="1"/>
        <v>1.863884950201653</v>
      </c>
      <c r="E21" s="515">
        <f t="shared" si="2"/>
        <v>0.17713986883480617</v>
      </c>
      <c r="F21" s="515">
        <f t="shared" si="3"/>
        <v>4.0661822293759878E-2</v>
      </c>
      <c r="G21" s="513">
        <v>32.799999999999997</v>
      </c>
      <c r="H21" s="519">
        <f t="shared" si="4"/>
        <v>1.3337077712353238</v>
      </c>
      <c r="I21" s="513">
        <v>449.33</v>
      </c>
      <c r="J21" s="515">
        <f t="shared" si="5"/>
        <v>18.270576611255127</v>
      </c>
      <c r="K21" s="515">
        <f t="shared" si="6"/>
        <v>19.604284382490452</v>
      </c>
      <c r="L21" s="517">
        <f t="shared" si="7"/>
        <v>60.391424251325262</v>
      </c>
    </row>
    <row r="22" spans="2:16" x14ac:dyDescent="0.2">
      <c r="B22" s="516">
        <v>9.0000000000000011E-3</v>
      </c>
      <c r="C22" s="520">
        <f t="shared" si="0"/>
        <v>7.619999999999999E-2</v>
      </c>
      <c r="D22" s="518">
        <f t="shared" si="1"/>
        <v>1.9735252413899855</v>
      </c>
      <c r="E22" s="515">
        <f t="shared" si="2"/>
        <v>0.19859279412621869</v>
      </c>
      <c r="F22" s="515">
        <f t="shared" si="3"/>
        <v>4.5201873702033185E-2</v>
      </c>
      <c r="G22" s="513">
        <v>32.799999999999997</v>
      </c>
      <c r="H22" s="519">
        <f t="shared" si="4"/>
        <v>1.4826214574266883</v>
      </c>
      <c r="I22" s="513">
        <v>449.33</v>
      </c>
      <c r="J22" s="515">
        <f t="shared" si="5"/>
        <v>20.31055791053457</v>
      </c>
      <c r="K22" s="515">
        <f t="shared" si="6"/>
        <v>21.793179367961258</v>
      </c>
      <c r="L22" s="517">
        <f t="shared" si="7"/>
        <v>62.601772162087478</v>
      </c>
    </row>
    <row r="23" spans="2:16" x14ac:dyDescent="0.2">
      <c r="B23" s="516">
        <v>9.4999999999999998E-3</v>
      </c>
      <c r="C23" s="520">
        <f t="shared" si="0"/>
        <v>7.619999999999999E-2</v>
      </c>
      <c r="D23" s="518">
        <f t="shared" si="1"/>
        <v>2.083165532578318</v>
      </c>
      <c r="E23" s="515">
        <f t="shared" si="2"/>
        <v>0.22127160086285477</v>
      </c>
      <c r="F23" s="515">
        <f t="shared" si="3"/>
        <v>4.9962015334135593E-2</v>
      </c>
      <c r="G23" s="513">
        <v>32.799999999999997</v>
      </c>
      <c r="H23" s="519">
        <f t="shared" si="4"/>
        <v>1.6387541029596473</v>
      </c>
      <c r="I23" s="513">
        <v>449.33</v>
      </c>
      <c r="J23" s="515">
        <f t="shared" si="5"/>
        <v>22.449432350087147</v>
      </c>
      <c r="K23" s="515">
        <f t="shared" si="6"/>
        <v>24.088186453046795</v>
      </c>
      <c r="L23" s="517">
        <f t="shared" si="7"/>
        <v>64.919458053909651</v>
      </c>
    </row>
    <row r="24" spans="2:16" x14ac:dyDescent="0.2">
      <c r="B24" s="516">
        <v>0.01</v>
      </c>
      <c r="C24" s="520">
        <f t="shared" si="0"/>
        <v>7.619999999999999E-2</v>
      </c>
      <c r="D24" s="518">
        <f t="shared" si="1"/>
        <v>2.1928058237666503</v>
      </c>
      <c r="E24" s="515">
        <f t="shared" si="2"/>
        <v>0.24517628904471439</v>
      </c>
      <c r="F24" s="515">
        <f t="shared" si="3"/>
        <v>5.4940490337825727E-2</v>
      </c>
      <c r="G24" s="513">
        <v>32.799999999999997</v>
      </c>
      <c r="H24" s="519">
        <f t="shared" si="4"/>
        <v>1.8020480830806838</v>
      </c>
      <c r="I24" s="513">
        <v>449.33</v>
      </c>
      <c r="J24" s="515">
        <f t="shared" si="5"/>
        <v>24.686410523495233</v>
      </c>
      <c r="K24" s="515">
        <f t="shared" si="6"/>
        <v>26.488458606575918</v>
      </c>
      <c r="L24" s="517">
        <f t="shared" si="7"/>
        <v>67.343634895620625</v>
      </c>
    </row>
    <row r="25" spans="2:16" x14ac:dyDescent="0.2">
      <c r="B25" s="516">
        <v>1.0500000000000001E-2</v>
      </c>
      <c r="C25" s="520">
        <f t="shared" si="0"/>
        <v>7.619999999999999E-2</v>
      </c>
      <c r="D25" s="518">
        <f t="shared" si="1"/>
        <v>2.3024461149549831</v>
      </c>
      <c r="E25" s="515">
        <f t="shared" si="2"/>
        <v>0.27030685867179766</v>
      </c>
      <c r="F25" s="515">
        <f t="shared" si="3"/>
        <v>6.0135645053778497E-2</v>
      </c>
      <c r="G25" s="513">
        <v>32.799999999999997</v>
      </c>
      <c r="H25" s="519">
        <f t="shared" si="4"/>
        <v>1.9724491577639345</v>
      </c>
      <c r="I25" s="513">
        <v>449.33</v>
      </c>
      <c r="J25" s="515">
        <f t="shared" si="5"/>
        <v>27.020749392014292</v>
      </c>
      <c r="K25" s="515">
        <f t="shared" si="6"/>
        <v>28.993198549778228</v>
      </c>
      <c r="L25" s="517">
        <f t="shared" si="7"/>
        <v>69.873505408450029</v>
      </c>
    </row>
    <row r="26" spans="2:16" x14ac:dyDescent="0.2">
      <c r="B26" s="521"/>
      <c r="N26" s="512">
        <v>455.03</v>
      </c>
      <c r="O26" s="512">
        <f>+B3*B3</f>
        <v>3.3640000000000002E-7</v>
      </c>
      <c r="P26" s="512">
        <f>+O26*16</f>
        <v>5.3824000000000003E-6</v>
      </c>
    </row>
    <row r="27" spans="2:16" ht="15" x14ac:dyDescent="0.25">
      <c r="B27" s="734" t="s">
        <v>210</v>
      </c>
      <c r="C27" s="734"/>
      <c r="D27" s="735" t="s">
        <v>211</v>
      </c>
      <c r="E27" s="735"/>
      <c r="O27" s="512">
        <f>+PI()^2</f>
        <v>9.869604401089358</v>
      </c>
      <c r="P27" s="512">
        <f>+C3^4</f>
        <v>3.3714745473599988E-5</v>
      </c>
    </row>
    <row r="28" spans="2:16" ht="15" x14ac:dyDescent="0.2">
      <c r="B28" s="522" t="s">
        <v>212</v>
      </c>
      <c r="C28" s="522" t="s">
        <v>213</v>
      </c>
      <c r="D28" s="522" t="s">
        <v>212</v>
      </c>
      <c r="E28" s="522" t="s">
        <v>213</v>
      </c>
      <c r="L28" s="523"/>
      <c r="M28" s="524"/>
      <c r="O28" s="512">
        <f>+O27*P27</f>
        <v>3.3275120030784995E-4</v>
      </c>
    </row>
    <row r="29" spans="2:16" x14ac:dyDescent="0.2">
      <c r="B29" s="513">
        <v>0</v>
      </c>
      <c r="C29" s="518">
        <f>(-0.5683*B29^2)-(0.3134*B29)+83.249</f>
        <v>83.248999999999995</v>
      </c>
      <c r="D29" s="525">
        <f>+B4*1000</f>
        <v>0.5</v>
      </c>
      <c r="E29" s="517">
        <f>+L4</f>
        <v>40.713827718095324</v>
      </c>
      <c r="L29" s="523"/>
      <c r="M29" s="524"/>
      <c r="O29" s="512">
        <f>+P26/O28</f>
        <v>1.6175448788825972E-2</v>
      </c>
    </row>
    <row r="30" spans="2:16" x14ac:dyDescent="0.2">
      <c r="B30" s="513">
        <v>1</v>
      </c>
      <c r="C30" s="518">
        <f t="shared" ref="C30:C41" si="8">(-0.5683*B30^2)-(0.3134*B30)+83.249</f>
        <v>82.3673</v>
      </c>
      <c r="D30" s="518">
        <f t="shared" ref="D30:D50" si="9">+B5*1000</f>
        <v>0.57999999999999996</v>
      </c>
      <c r="E30" s="517">
        <f t="shared" ref="E30:E50" si="10">+L5</f>
        <v>40.746690065152642</v>
      </c>
      <c r="L30" s="523"/>
      <c r="M30" s="524"/>
      <c r="O30" s="512">
        <f>+O29*N26</f>
        <v>7.3603144623794812</v>
      </c>
    </row>
    <row r="31" spans="2:16" x14ac:dyDescent="0.2">
      <c r="B31" s="513">
        <v>2</v>
      </c>
      <c r="C31" s="518">
        <f t="shared" si="8"/>
        <v>80.34899999999999</v>
      </c>
      <c r="D31" s="525">
        <f t="shared" si="9"/>
        <v>1</v>
      </c>
      <c r="E31" s="517">
        <f t="shared" si="10"/>
        <v>40.985019149205705</v>
      </c>
      <c r="L31" s="523"/>
      <c r="M31" s="524"/>
    </row>
    <row r="32" spans="2:16" x14ac:dyDescent="0.2">
      <c r="B32" s="513">
        <v>3</v>
      </c>
      <c r="C32" s="518">
        <f t="shared" si="8"/>
        <v>77.194099999999992</v>
      </c>
      <c r="D32" s="525">
        <f t="shared" si="9"/>
        <v>1.5</v>
      </c>
      <c r="E32" s="517">
        <f t="shared" si="10"/>
        <v>41.404921260071482</v>
      </c>
      <c r="L32" s="523"/>
      <c r="M32" s="524"/>
    </row>
    <row r="33" spans="2:13" x14ac:dyDescent="0.2">
      <c r="B33" s="513">
        <v>4</v>
      </c>
      <c r="C33" s="518">
        <f t="shared" si="8"/>
        <v>72.902599999999993</v>
      </c>
      <c r="D33" s="525">
        <f t="shared" si="9"/>
        <v>2</v>
      </c>
      <c r="E33" s="517">
        <f t="shared" si="10"/>
        <v>41.964638294519816</v>
      </c>
      <c r="L33" s="523"/>
      <c r="M33" s="524"/>
    </row>
    <row r="34" spans="2:13" x14ac:dyDescent="0.2">
      <c r="B34" s="513">
        <v>5</v>
      </c>
      <c r="C34" s="518">
        <f t="shared" si="8"/>
        <v>67.474499999999992</v>
      </c>
      <c r="D34" s="525">
        <f t="shared" si="9"/>
        <v>2.5</v>
      </c>
      <c r="E34" s="517">
        <f t="shared" si="10"/>
        <v>42.658292615370414</v>
      </c>
      <c r="L34" s="523"/>
      <c r="M34" s="524"/>
    </row>
    <row r="35" spans="2:13" x14ac:dyDescent="0.2">
      <c r="B35" s="526">
        <v>6</v>
      </c>
      <c r="C35" s="518">
        <f t="shared" si="8"/>
        <v>60.90979999999999</v>
      </c>
      <c r="D35" s="525">
        <f t="shared" si="9"/>
        <v>3</v>
      </c>
      <c r="E35" s="517">
        <f t="shared" si="10"/>
        <v>43.481526846027784</v>
      </c>
      <c r="L35" s="523"/>
      <c r="M35" s="524"/>
    </row>
    <row r="36" spans="2:13" x14ac:dyDescent="0.2">
      <c r="B36" s="526">
        <v>7</v>
      </c>
      <c r="C36" s="518">
        <f t="shared" si="8"/>
        <v>53.208499999999994</v>
      </c>
      <c r="D36" s="525">
        <f t="shared" si="9"/>
        <v>3.5</v>
      </c>
      <c r="E36" s="517">
        <f t="shared" si="10"/>
        <v>44.430898501123785</v>
      </c>
      <c r="L36" s="523"/>
      <c r="M36" s="524"/>
    </row>
    <row r="37" spans="2:13" x14ac:dyDescent="0.2">
      <c r="B37" s="526">
        <v>8</v>
      </c>
      <c r="C37" s="518">
        <f t="shared" si="8"/>
        <v>44.370599999999996</v>
      </c>
      <c r="D37" s="525">
        <f t="shared" si="9"/>
        <v>4</v>
      </c>
      <c r="E37" s="517">
        <f t="shared" si="10"/>
        <v>45.503574395598385</v>
      </c>
      <c r="L37" s="523"/>
      <c r="M37" s="524"/>
    </row>
    <row r="38" spans="2:13" x14ac:dyDescent="0.2">
      <c r="B38" s="526">
        <v>9</v>
      </c>
      <c r="C38" s="518">
        <f t="shared" si="8"/>
        <v>34.396099999999997</v>
      </c>
      <c r="D38" s="525">
        <f t="shared" si="9"/>
        <v>4.5000000000000009</v>
      </c>
      <c r="E38" s="517">
        <f t="shared" si="10"/>
        <v>46.697155074681952</v>
      </c>
      <c r="L38" s="523"/>
      <c r="M38" s="524"/>
    </row>
    <row r="39" spans="2:13" x14ac:dyDescent="0.2">
      <c r="B39" s="526">
        <v>10</v>
      </c>
      <c r="C39" s="518">
        <f t="shared" si="8"/>
        <v>23.284999999999989</v>
      </c>
      <c r="D39" s="525">
        <f t="shared" si="9"/>
        <v>5</v>
      </c>
      <c r="E39" s="517">
        <f t="shared" si="10"/>
        <v>48.009564834669362</v>
      </c>
      <c r="L39" s="523"/>
      <c r="M39" s="524"/>
    </row>
    <row r="40" spans="2:13" x14ac:dyDescent="0.2">
      <c r="B40" s="526">
        <v>11</v>
      </c>
      <c r="C40" s="518">
        <f t="shared" si="8"/>
        <v>11.037299999999988</v>
      </c>
      <c r="D40" s="525">
        <f t="shared" si="9"/>
        <v>5.5</v>
      </c>
      <c r="E40" s="517">
        <f t="shared" si="10"/>
        <v>49.438978394970349</v>
      </c>
      <c r="L40" s="523"/>
      <c r="M40" s="524"/>
    </row>
    <row r="41" spans="2:13" x14ac:dyDescent="0.2">
      <c r="B41" s="526">
        <v>11.8</v>
      </c>
      <c r="C41" s="518">
        <f t="shared" si="8"/>
        <v>0.42078799999998751</v>
      </c>
      <c r="D41" s="525">
        <f t="shared" si="9"/>
        <v>6</v>
      </c>
      <c r="E41" s="517">
        <f t="shared" si="10"/>
        <v>50.983769636272925</v>
      </c>
      <c r="L41" s="523"/>
      <c r="M41" s="524"/>
    </row>
    <row r="42" spans="2:13" x14ac:dyDescent="0.2">
      <c r="D42" s="525">
        <f>+B17*1000</f>
        <v>6.5000000000000009</v>
      </c>
      <c r="E42" s="517">
        <f>+L17</f>
        <v>52.642474404289928</v>
      </c>
      <c r="L42" s="523"/>
      <c r="M42" s="524"/>
    </row>
    <row r="43" spans="2:13" x14ac:dyDescent="0.2">
      <c r="D43" s="525">
        <f t="shared" si="9"/>
        <v>7</v>
      </c>
      <c r="E43" s="517">
        <f t="shared" si="10"/>
        <v>54.413762694296423</v>
      </c>
      <c r="L43" s="523"/>
      <c r="M43" s="524"/>
    </row>
    <row r="44" spans="2:13" x14ac:dyDescent="0.2">
      <c r="D44" s="525">
        <f t="shared" si="9"/>
        <v>7.5</v>
      </c>
      <c r="E44" s="517">
        <f t="shared" si="10"/>
        <v>56.296417326588326</v>
      </c>
      <c r="L44" s="523"/>
      <c r="M44" s="524"/>
    </row>
    <row r="45" spans="2:13" x14ac:dyDescent="0.2">
      <c r="D45" s="525">
        <f t="shared" si="9"/>
        <v>8</v>
      </c>
      <c r="E45" s="517">
        <f t="shared" si="10"/>
        <v>58.289317252652765</v>
      </c>
      <c r="L45" s="523"/>
      <c r="M45" s="524"/>
    </row>
    <row r="46" spans="2:13" x14ac:dyDescent="0.2">
      <c r="D46" s="525">
        <f t="shared" si="9"/>
        <v>8.5</v>
      </c>
      <c r="E46" s="517">
        <f t="shared" si="10"/>
        <v>60.391424251325262</v>
      </c>
      <c r="L46" s="523"/>
      <c r="M46" s="524"/>
    </row>
    <row r="47" spans="2:13" x14ac:dyDescent="0.2">
      <c r="D47" s="525">
        <f t="shared" si="9"/>
        <v>9.0000000000000018</v>
      </c>
      <c r="E47" s="517">
        <f t="shared" si="10"/>
        <v>62.601772162087478</v>
      </c>
      <c r="L47" s="523"/>
      <c r="M47" s="524"/>
    </row>
    <row r="48" spans="2:13" x14ac:dyDescent="0.2">
      <c r="D48" s="525">
        <f t="shared" si="9"/>
        <v>9.5</v>
      </c>
      <c r="E48" s="517">
        <f t="shared" si="10"/>
        <v>64.919458053909651</v>
      </c>
      <c r="L48" s="523"/>
      <c r="M48" s="524"/>
    </row>
    <row r="49" spans="4:13" x14ac:dyDescent="0.2">
      <c r="D49" s="525">
        <f t="shared" si="9"/>
        <v>10</v>
      </c>
      <c r="E49" s="517">
        <f t="shared" si="10"/>
        <v>67.343634895620625</v>
      </c>
      <c r="L49" s="524"/>
      <c r="M49" s="524"/>
    </row>
    <row r="50" spans="4:13" x14ac:dyDescent="0.2">
      <c r="D50" s="525">
        <f t="shared" si="9"/>
        <v>10.5</v>
      </c>
      <c r="E50" s="517">
        <f t="shared" si="10"/>
        <v>69.873505408450029</v>
      </c>
    </row>
  </sheetData>
  <mergeCells count="2">
    <mergeCell ref="B27:C27"/>
    <mergeCell ref="D27:E2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R139"/>
  <sheetViews>
    <sheetView zoomScale="80" zoomScaleNormal="80" workbookViewId="0">
      <selection activeCell="J6" sqref="J6"/>
    </sheetView>
  </sheetViews>
  <sheetFormatPr baseColWidth="10" defaultColWidth="11.5703125" defaultRowHeight="15" x14ac:dyDescent="0.25"/>
  <cols>
    <col min="1" max="1" width="5.7109375" style="1" customWidth="1"/>
    <col min="2" max="2" width="26.28515625" style="1" customWidth="1"/>
    <col min="3" max="3" width="29.42578125" style="1" customWidth="1"/>
    <col min="4" max="4" width="10.5703125" style="1" customWidth="1"/>
    <col min="5" max="5" width="21.140625" style="1" customWidth="1"/>
    <col min="6" max="6" width="13.140625" style="1" customWidth="1"/>
    <col min="7" max="7" width="11.7109375" style="1" customWidth="1"/>
    <col min="8" max="8" width="11.42578125" style="1" customWidth="1"/>
    <col min="9" max="9" width="25.28515625" style="1" customWidth="1"/>
    <col min="10" max="10" width="19.7109375" style="1" customWidth="1"/>
    <col min="11" max="11" width="4.7109375" style="1" customWidth="1"/>
    <col min="12" max="16384" width="11.5703125" style="1"/>
  </cols>
  <sheetData>
    <row r="1" spans="1:44" ht="19.899999999999999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</row>
    <row r="2" spans="1:44" ht="49.9" customHeight="1" x14ac:dyDescent="0.25">
      <c r="A2" s="36"/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</row>
    <row r="3" spans="1:44" ht="10.1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</row>
    <row r="4" spans="1:44" ht="25.15" customHeight="1" x14ac:dyDescent="0.25">
      <c r="A4" s="36"/>
      <c r="B4" s="532" t="s">
        <v>2</v>
      </c>
      <c r="C4" s="532"/>
      <c r="D4" s="36">
        <v>200</v>
      </c>
      <c r="E4" s="36"/>
      <c r="F4" s="36"/>
      <c r="G4" s="22"/>
      <c r="H4" s="22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</row>
    <row r="5" spans="1:44" ht="10.15" customHeight="1" x14ac:dyDescent="0.25">
      <c r="A5" s="36"/>
      <c r="B5" s="36"/>
      <c r="C5" s="36"/>
      <c r="D5" s="36"/>
      <c r="E5" s="36"/>
      <c r="F5" s="36"/>
      <c r="G5" s="22"/>
      <c r="H5" s="22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</row>
    <row r="6" spans="1:44" ht="30" customHeight="1" x14ac:dyDescent="0.3">
      <c r="A6" s="36"/>
      <c r="B6" s="32" t="s">
        <v>3</v>
      </c>
      <c r="C6" s="5"/>
      <c r="D6" s="15"/>
      <c r="E6" s="32" t="s">
        <v>11</v>
      </c>
      <c r="F6" s="38"/>
      <c r="G6" s="22"/>
      <c r="H6" s="22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</row>
    <row r="7" spans="1:44" ht="10.15" customHeight="1" thickBot="1" x14ac:dyDescent="0.35">
      <c r="A7" s="36"/>
      <c r="B7" s="32"/>
      <c r="C7" s="5"/>
      <c r="D7" s="15"/>
      <c r="E7" s="15"/>
      <c r="F7" s="38"/>
      <c r="G7" s="22"/>
      <c r="H7" s="22"/>
      <c r="I7" s="22"/>
      <c r="J7" s="36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</row>
    <row r="8" spans="1:44" ht="45.6" customHeight="1" thickBot="1" x14ac:dyDescent="0.3">
      <c r="A8" s="36"/>
      <c r="B8" s="41" t="s">
        <v>4</v>
      </c>
      <c r="C8" s="43" t="s">
        <v>5</v>
      </c>
      <c r="D8" s="37"/>
      <c r="E8" s="15" t="s">
        <v>13</v>
      </c>
      <c r="F8" s="542" t="s">
        <v>12</v>
      </c>
      <c r="G8" s="542"/>
      <c r="H8" s="22"/>
      <c r="I8" s="540" t="s">
        <v>20</v>
      </c>
      <c r="J8" s="54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</row>
    <row r="9" spans="1:44" ht="18" customHeight="1" x14ac:dyDescent="0.25">
      <c r="A9" s="36"/>
      <c r="B9" s="42" t="s">
        <v>6</v>
      </c>
      <c r="C9" s="44" t="s">
        <v>7</v>
      </c>
      <c r="D9" s="37"/>
      <c r="E9" s="543" t="s">
        <v>13</v>
      </c>
      <c r="F9" s="547">
        <f>C12/(1-0.25)</f>
        <v>186.66666666666666</v>
      </c>
      <c r="G9" s="545" t="s">
        <v>7</v>
      </c>
      <c r="I9" s="47"/>
      <c r="J9" s="4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</row>
    <row r="10" spans="1:44" ht="18" customHeight="1" thickBot="1" x14ac:dyDescent="0.3">
      <c r="A10" s="36"/>
      <c r="B10" s="6" t="s">
        <v>8</v>
      </c>
      <c r="C10" s="7">
        <v>120</v>
      </c>
      <c r="D10" s="37"/>
      <c r="E10" s="544"/>
      <c r="F10" s="548"/>
      <c r="G10" s="546"/>
      <c r="I10" s="49" t="s">
        <v>21</v>
      </c>
      <c r="J10" s="48">
        <v>1.2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</row>
    <row r="11" spans="1:44" ht="18" customHeight="1" thickBot="1" x14ac:dyDescent="0.3">
      <c r="A11" s="36"/>
      <c r="B11" s="6" t="s">
        <v>9</v>
      </c>
      <c r="C11" s="7">
        <v>130</v>
      </c>
      <c r="D11" s="37"/>
      <c r="E11" s="37"/>
      <c r="F11" s="38"/>
      <c r="G11" s="22"/>
      <c r="H11" s="22"/>
      <c r="I11" s="50" t="s">
        <v>22</v>
      </c>
      <c r="J11" s="46">
        <v>1.5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</row>
    <row r="12" spans="1:44" ht="18" customHeight="1" thickBot="1" x14ac:dyDescent="0.3">
      <c r="A12" s="36"/>
      <c r="B12" s="110" t="s">
        <v>10</v>
      </c>
      <c r="C12" s="111">
        <v>140</v>
      </c>
      <c r="D12" s="37"/>
      <c r="E12" s="37"/>
      <c r="F12" s="38"/>
      <c r="G12" s="22"/>
      <c r="H12" s="22"/>
      <c r="I12" s="51"/>
      <c r="J12" s="36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</row>
    <row r="13" spans="1:44" ht="18" customHeight="1" x14ac:dyDescent="0.25">
      <c r="A13" s="36"/>
      <c r="B13" s="37"/>
      <c r="C13" s="37"/>
      <c r="D13" s="37"/>
      <c r="E13" s="37"/>
      <c r="F13" s="38"/>
      <c r="G13" s="22"/>
      <c r="H13" s="22"/>
      <c r="I13" s="22"/>
      <c r="J13" s="3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</row>
    <row r="14" spans="1:44" ht="16.5" x14ac:dyDescent="0.3">
      <c r="A14" s="36"/>
      <c r="B14" s="5"/>
      <c r="C14" s="5"/>
      <c r="D14" s="38"/>
      <c r="E14" s="38"/>
      <c r="F14" s="38"/>
      <c r="G14" s="36"/>
      <c r="H14" s="36"/>
      <c r="I14" s="36"/>
      <c r="J14" s="36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</row>
    <row r="15" spans="1:44" ht="25.15" customHeight="1" x14ac:dyDescent="0.25">
      <c r="A15" s="36"/>
      <c r="B15" s="45" t="s">
        <v>15</v>
      </c>
      <c r="C15" s="31" t="s">
        <v>14</v>
      </c>
      <c r="D15" s="31"/>
      <c r="E15" s="45" t="s">
        <v>18</v>
      </c>
      <c r="F15" s="537" t="s">
        <v>23</v>
      </c>
      <c r="G15" s="537"/>
      <c r="H15" s="36"/>
      <c r="I15" s="45" t="s">
        <v>24</v>
      </c>
      <c r="J15" s="37" t="s">
        <v>25</v>
      </c>
      <c r="K15" s="3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</row>
    <row r="16" spans="1:44" ht="25.15" customHeight="1" x14ac:dyDescent="0.25">
      <c r="A16" s="36"/>
      <c r="B16" s="45" t="s">
        <v>16</v>
      </c>
      <c r="C16" s="33">
        <f>'Proyección Población'!J14*F9</f>
        <v>20720</v>
      </c>
      <c r="D16" s="31"/>
      <c r="E16" s="45" t="s">
        <v>19</v>
      </c>
      <c r="F16" s="538">
        <f>C17*J10</f>
        <v>0.28777777777777774</v>
      </c>
      <c r="G16" s="538"/>
      <c r="H16" s="31"/>
      <c r="I16" s="45" t="s">
        <v>26</v>
      </c>
      <c r="J16" s="52">
        <f>F16*J11</f>
        <v>0.43166666666666664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</row>
    <row r="17" spans="1:44" ht="25.15" customHeight="1" x14ac:dyDescent="0.25">
      <c r="A17" s="36"/>
      <c r="B17" s="45" t="s">
        <v>17</v>
      </c>
      <c r="C17" s="52">
        <f>C16/86400</f>
        <v>0.23981481481481481</v>
      </c>
      <c r="D17" s="36"/>
      <c r="E17" s="45"/>
      <c r="F17" s="539"/>
      <c r="G17" s="539"/>
      <c r="H17" s="36"/>
      <c r="I17" s="36"/>
      <c r="J17" s="36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</row>
    <row r="18" spans="1:44" ht="15.75" x14ac:dyDescent="0.25">
      <c r="A18" s="36"/>
      <c r="B18" s="38"/>
      <c r="C18" s="38"/>
      <c r="D18" s="36"/>
      <c r="E18" s="36"/>
      <c r="F18" s="36"/>
      <c r="G18" s="36"/>
      <c r="H18" s="36"/>
      <c r="I18" s="36"/>
      <c r="J18" s="36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</row>
    <row r="19" spans="1:44" ht="15.75" x14ac:dyDescent="0.25">
      <c r="A19" s="12"/>
      <c r="B19" s="13"/>
      <c r="C19" s="13"/>
      <c r="D19" s="12"/>
      <c r="E19" s="12"/>
      <c r="F19" s="12"/>
      <c r="G19" s="12"/>
      <c r="H19" s="12"/>
      <c r="I19" s="12"/>
      <c r="J19" s="12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</row>
    <row r="20" spans="1:44" ht="15.75" x14ac:dyDescent="0.25">
      <c r="A20" s="12"/>
      <c r="B20" s="13"/>
      <c r="C20" s="13"/>
      <c r="D20" s="12"/>
      <c r="E20" s="12"/>
      <c r="F20" s="12"/>
      <c r="G20" s="12"/>
      <c r="H20" s="12"/>
      <c r="I20" s="12"/>
      <c r="J20" s="12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</row>
    <row r="21" spans="1:44" ht="15.75" x14ac:dyDescent="0.25">
      <c r="A21" s="12"/>
      <c r="B21" s="13"/>
      <c r="C21" s="13"/>
      <c r="D21" s="12"/>
      <c r="E21" s="12"/>
      <c r="F21" s="12"/>
      <c r="G21" s="12"/>
      <c r="H21" s="12"/>
      <c r="I21" s="12"/>
      <c r="J21" s="12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</row>
    <row r="22" spans="1:44" ht="15.75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</row>
    <row r="23" spans="1:44" ht="15.75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</row>
    <row r="24" spans="1:44" ht="15.75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</row>
    <row r="25" spans="1:44" ht="15.75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</row>
    <row r="26" spans="1:44" ht="15.75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</row>
    <row r="27" spans="1:44" ht="15.75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</row>
    <row r="28" spans="1:44" ht="15.75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</row>
    <row r="29" spans="1:44" ht="15.75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</row>
    <row r="30" spans="1:44" ht="15.75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</row>
    <row r="31" spans="1:44" ht="15.75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</row>
    <row r="32" spans="1:44" ht="15.75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</row>
    <row r="33" spans="1:44" ht="15.75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</row>
    <row r="34" spans="1:44" ht="15.75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</row>
    <row r="35" spans="1:44" ht="15.75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</row>
    <row r="36" spans="1:44" ht="16.5" x14ac:dyDescent="0.3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</row>
    <row r="37" spans="1:44" ht="16.5" x14ac:dyDescent="0.3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</row>
    <row r="38" spans="1:44" ht="16.5" x14ac:dyDescent="0.3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</row>
    <row r="39" spans="1:44" ht="16.5" x14ac:dyDescent="0.3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</row>
    <row r="40" spans="1:44" ht="16.5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</row>
    <row r="41" spans="1:44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</row>
    <row r="42" spans="1:44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</row>
    <row r="43" spans="1:44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</row>
    <row r="44" spans="1:44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</row>
    <row r="45" spans="1:44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</row>
    <row r="46" spans="1:44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</row>
    <row r="47" spans="1:44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</row>
    <row r="48" spans="1:44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</row>
    <row r="49" spans="1:44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</row>
    <row r="50" spans="1:44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</row>
    <row r="51" spans="1:44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</row>
    <row r="52" spans="1:44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</row>
    <row r="53" spans="1:44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</row>
    <row r="54" spans="1:44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</row>
    <row r="55" spans="1:44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</row>
    <row r="56" spans="1:44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</row>
    <row r="57" spans="1:44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</row>
    <row r="58" spans="1:44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</row>
    <row r="59" spans="1:44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</row>
    <row r="60" spans="1:44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</row>
    <row r="61" spans="1:44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</row>
    <row r="62" spans="1:44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</row>
    <row r="63" spans="1:44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</row>
    <row r="64" spans="1:44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</row>
    <row r="65" spans="1:44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</row>
    <row r="66" spans="1:44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</row>
    <row r="67" spans="1:44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</row>
    <row r="68" spans="1:44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</row>
    <row r="69" spans="1:44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</row>
    <row r="70" spans="1:44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</row>
    <row r="71" spans="1:44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</row>
    <row r="72" spans="1:44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</row>
    <row r="73" spans="1:44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</row>
    <row r="74" spans="1:44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</row>
    <row r="75" spans="1:44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</row>
    <row r="76" spans="1:44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</row>
    <row r="77" spans="1:44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</row>
    <row r="78" spans="1:44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</row>
    <row r="79" spans="1:44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</row>
    <row r="80" spans="1:44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</row>
    <row r="81" spans="1:44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</row>
    <row r="82" spans="1:44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</row>
    <row r="83" spans="1:44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</row>
    <row r="84" spans="1:44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</row>
    <row r="85" spans="1:44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</row>
    <row r="86" spans="1:44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</row>
    <row r="87" spans="1:44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</row>
    <row r="88" spans="1:44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</row>
    <row r="89" spans="1:44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</row>
    <row r="90" spans="1:44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</row>
    <row r="91" spans="1:44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</row>
    <row r="92" spans="1:44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</row>
    <row r="93" spans="1:44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</row>
    <row r="94" spans="1:44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</row>
    <row r="95" spans="1:44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</row>
    <row r="96" spans="1:44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</row>
    <row r="97" spans="1:44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</row>
    <row r="98" spans="1:44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</row>
    <row r="99" spans="1:44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</row>
    <row r="100" spans="1:44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</row>
    <row r="101" spans="1:44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</row>
    <row r="102" spans="1:44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</row>
    <row r="103" spans="1:44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</row>
    <row r="104" spans="1:44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</row>
    <row r="105" spans="1:44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</row>
    <row r="106" spans="1:44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</row>
    <row r="107" spans="1:44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</row>
    <row r="108" spans="1:44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</row>
    <row r="109" spans="1:44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</row>
    <row r="110" spans="1:44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</row>
    <row r="111" spans="1:44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</row>
    <row r="112" spans="1:44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</row>
    <row r="113" spans="1:44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</row>
    <row r="114" spans="1:44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</row>
    <row r="115" spans="1:44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</row>
    <row r="116" spans="1:44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</row>
    <row r="117" spans="1:44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</row>
    <row r="118" spans="1:44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</row>
    <row r="119" spans="1:44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</row>
    <row r="120" spans="1:44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</row>
    <row r="121" spans="1:44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</row>
    <row r="122" spans="1:44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</row>
    <row r="123" spans="1:44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</row>
    <row r="124" spans="1:44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</row>
    <row r="125" spans="1:44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</row>
    <row r="126" spans="1:44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</row>
    <row r="127" spans="1:44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</row>
    <row r="128" spans="1:44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</row>
    <row r="129" spans="1:44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</row>
    <row r="130" spans="1:44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</row>
    <row r="131" spans="1:44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</row>
    <row r="132" spans="1:44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</row>
    <row r="133" spans="1:44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</row>
    <row r="134" spans="1:44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</row>
    <row r="135" spans="1:44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</row>
    <row r="136" spans="1:44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</row>
    <row r="137" spans="1:44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</row>
    <row r="138" spans="1:44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</row>
    <row r="139" spans="1:44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</row>
  </sheetData>
  <mergeCells count="10">
    <mergeCell ref="B2:J2"/>
    <mergeCell ref="F15:G15"/>
    <mergeCell ref="F16:G16"/>
    <mergeCell ref="F17:G17"/>
    <mergeCell ref="I8:J8"/>
    <mergeCell ref="B4:C4"/>
    <mergeCell ref="F8:G8"/>
    <mergeCell ref="E9:E10"/>
    <mergeCell ref="G9:G10"/>
    <mergeCell ref="F9:F10"/>
  </mergeCell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S164"/>
  <sheetViews>
    <sheetView zoomScale="70" zoomScaleNormal="70" workbookViewId="0">
      <selection activeCell="D19" sqref="D19"/>
    </sheetView>
  </sheetViews>
  <sheetFormatPr baseColWidth="10" defaultColWidth="11.5703125" defaultRowHeight="15" x14ac:dyDescent="0.25"/>
  <cols>
    <col min="1" max="1" width="5.7109375" style="1" customWidth="1"/>
    <col min="2" max="3" width="7.28515625" style="1" customWidth="1"/>
    <col min="4" max="4" width="16.7109375" style="1" customWidth="1"/>
    <col min="5" max="5" width="29.42578125" style="1" customWidth="1"/>
    <col min="6" max="9" width="6.7109375" style="1" customWidth="1"/>
    <col min="10" max="10" width="11.42578125" style="1" customWidth="1"/>
    <col min="11" max="11" width="25.28515625" style="1" customWidth="1"/>
    <col min="12" max="12" width="4.7109375" style="1" customWidth="1"/>
    <col min="13" max="16384" width="11.5703125" style="1"/>
  </cols>
  <sheetData>
    <row r="1" spans="1:45" ht="1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</row>
    <row r="2" spans="1:45" ht="49.9" customHeight="1" x14ac:dyDescent="0.25">
      <c r="A2" s="148"/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</row>
    <row r="3" spans="1:45" ht="10.15" customHeight="1" x14ac:dyDescent="0.25">
      <c r="A3" s="148"/>
      <c r="B3" s="148"/>
      <c r="C3" s="148"/>
      <c r="D3" s="148"/>
      <c r="E3" s="148"/>
      <c r="F3" s="148"/>
      <c r="G3" s="148"/>
      <c r="H3" s="148"/>
      <c r="I3" s="148"/>
      <c r="J3" s="148"/>
      <c r="K3" s="148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</row>
    <row r="4" spans="1:45" ht="25.15" customHeight="1" x14ac:dyDescent="0.25">
      <c r="A4" s="148"/>
      <c r="B4" s="148"/>
      <c r="C4" s="148"/>
      <c r="D4" s="550"/>
      <c r="E4" s="550"/>
      <c r="F4" s="113"/>
      <c r="G4" s="113"/>
      <c r="H4" s="113"/>
      <c r="I4" s="31"/>
      <c r="J4" s="31"/>
      <c r="K4" s="224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</row>
    <row r="5" spans="1:45" ht="19.149999999999999" customHeight="1" thickBot="1" x14ac:dyDescent="0.3">
      <c r="A5" s="148"/>
      <c r="B5" s="148"/>
      <c r="C5" s="148"/>
      <c r="D5" s="225"/>
      <c r="E5" s="113">
        <v>211</v>
      </c>
      <c r="F5" s="113"/>
      <c r="G5" s="113"/>
      <c r="H5" s="113"/>
      <c r="I5" s="31"/>
      <c r="J5" s="31"/>
      <c r="K5" s="224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 ht="30" customHeight="1" thickTop="1" thickBot="1" x14ac:dyDescent="0.35">
      <c r="A6" s="148"/>
      <c r="B6" s="148"/>
      <c r="C6" s="148"/>
      <c r="D6" s="226"/>
      <c r="E6" s="5"/>
      <c r="F6" s="149"/>
      <c r="G6" s="32"/>
      <c r="H6" s="113"/>
      <c r="I6" s="31"/>
      <c r="J6" s="31"/>
      <c r="K6" s="224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 ht="43.15" customHeight="1" thickTop="1" x14ac:dyDescent="0.3">
      <c r="A7" s="148"/>
      <c r="B7" s="148"/>
      <c r="C7" s="148"/>
      <c r="D7" s="32"/>
      <c r="E7" s="5"/>
      <c r="F7" s="149"/>
      <c r="G7" s="149"/>
      <c r="H7" s="113"/>
      <c r="I7" s="31"/>
      <c r="J7" s="31"/>
      <c r="K7" s="3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ht="13.9" customHeight="1" x14ac:dyDescent="0.25">
      <c r="A8" s="148"/>
      <c r="B8" s="148"/>
      <c r="C8" s="148"/>
      <c r="D8" s="227" t="s">
        <v>123</v>
      </c>
      <c r="E8" s="228">
        <v>7</v>
      </c>
      <c r="F8" s="151">
        <v>210</v>
      </c>
      <c r="G8" s="149"/>
      <c r="H8" s="113"/>
      <c r="I8" s="31"/>
      <c r="J8" s="31"/>
      <c r="K8" s="3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 ht="42.6" customHeight="1" x14ac:dyDescent="0.25">
      <c r="A9" s="148"/>
      <c r="B9" s="148"/>
      <c r="C9" s="148"/>
      <c r="D9" s="149"/>
      <c r="E9" s="149"/>
      <c r="F9" s="550" t="s">
        <v>124</v>
      </c>
      <c r="G9" s="550"/>
      <c r="H9" s="550"/>
      <c r="I9" s="550"/>
      <c r="J9" s="31"/>
      <c r="K9" s="113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 ht="15" customHeight="1" x14ac:dyDescent="0.25">
      <c r="A10" s="148"/>
      <c r="B10" s="148" t="s">
        <v>27</v>
      </c>
      <c r="C10" s="251">
        <f>'Dotaciones - Caudales'!J16</f>
        <v>0.43166666666666664</v>
      </c>
      <c r="D10" s="113" t="s">
        <v>28</v>
      </c>
      <c r="E10" s="229">
        <v>203.11</v>
      </c>
      <c r="F10" s="230"/>
      <c r="G10" s="231"/>
      <c r="H10" s="232"/>
      <c r="I10" s="233"/>
      <c r="J10" s="224"/>
      <c r="K10" s="113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 ht="15" customHeight="1" x14ac:dyDescent="0.25">
      <c r="A11" s="148"/>
      <c r="B11" s="148"/>
      <c r="C11" s="148"/>
      <c r="D11" s="113"/>
      <c r="E11" s="150"/>
      <c r="F11" s="230"/>
      <c r="G11" s="234"/>
      <c r="H11" s="232"/>
      <c r="I11" s="233"/>
      <c r="J11" s="224"/>
      <c r="K11" s="229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 ht="15" customHeight="1" x14ac:dyDescent="0.25">
      <c r="A12" s="148"/>
      <c r="B12" s="148"/>
      <c r="C12" s="148"/>
      <c r="D12" s="113"/>
      <c r="E12" s="150"/>
      <c r="F12" s="230"/>
      <c r="G12" s="230"/>
      <c r="H12" s="235"/>
      <c r="I12" s="233"/>
      <c r="J12" s="31"/>
      <c r="K12" s="229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 ht="15" customHeight="1" x14ac:dyDescent="0.25">
      <c r="A13" s="148"/>
      <c r="B13" s="148"/>
      <c r="C13" s="148"/>
      <c r="D13" s="150"/>
      <c r="E13" s="150"/>
      <c r="F13" s="230"/>
      <c r="G13" s="230"/>
      <c r="H13" s="235"/>
      <c r="I13" s="233"/>
      <c r="J13" s="31"/>
      <c r="K13" s="229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 ht="15" customHeight="1" x14ac:dyDescent="0.25">
      <c r="A14" s="148"/>
      <c r="B14" s="148"/>
      <c r="C14" s="148"/>
      <c r="D14" s="150"/>
      <c r="E14" s="150"/>
      <c r="F14" s="230"/>
      <c r="G14" s="230"/>
      <c r="H14" s="235"/>
      <c r="I14" s="233"/>
      <c r="J14" s="31"/>
      <c r="K14" s="3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 ht="16.5" x14ac:dyDescent="0.3">
      <c r="A15" s="148"/>
      <c r="B15" s="148" t="s">
        <v>125</v>
      </c>
      <c r="C15" s="148">
        <v>150</v>
      </c>
      <c r="D15" s="5"/>
      <c r="E15" s="5"/>
      <c r="F15" s="113"/>
      <c r="G15" s="113"/>
      <c r="H15" s="113"/>
      <c r="I15" s="113"/>
      <c r="J15" s="113"/>
      <c r="K15" s="113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 ht="25.15" customHeight="1" x14ac:dyDescent="0.25">
      <c r="A16" s="148"/>
      <c r="B16" s="148"/>
      <c r="C16" s="148"/>
      <c r="D16" s="45"/>
      <c r="E16" s="31"/>
      <c r="F16" s="31"/>
      <c r="G16" s="45"/>
      <c r="H16" s="537"/>
      <c r="I16" s="537"/>
      <c r="J16" s="113"/>
      <c r="K16" s="45"/>
      <c r="L16" s="3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25.15" customHeight="1" x14ac:dyDescent="0.25">
      <c r="A17" s="148"/>
      <c r="B17" s="549" t="s">
        <v>126</v>
      </c>
      <c r="C17" s="549"/>
      <c r="D17" s="45"/>
      <c r="E17" s="31"/>
      <c r="F17" s="31"/>
      <c r="G17" s="45"/>
      <c r="H17" s="150"/>
      <c r="I17" s="150"/>
      <c r="J17" s="113"/>
      <c r="K17" s="45"/>
      <c r="L17" s="3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 ht="25.15" customHeight="1" x14ac:dyDescent="0.25">
      <c r="A18" s="148"/>
      <c r="B18" s="148"/>
      <c r="C18" s="148"/>
      <c r="D18" s="45"/>
      <c r="E18" s="31"/>
      <c r="F18" s="31"/>
      <c r="G18" s="45"/>
      <c r="H18" s="150"/>
      <c r="I18" s="150"/>
      <c r="J18" s="113"/>
      <c r="K18" s="45"/>
      <c r="L18" s="3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 ht="25.15" customHeight="1" x14ac:dyDescent="0.25">
      <c r="A19" s="148"/>
      <c r="B19" s="148"/>
      <c r="C19" s="236" t="s">
        <v>127</v>
      </c>
      <c r="D19" s="237">
        <f>(E5-F8)/E8</f>
        <v>0.14285714285714285</v>
      </c>
      <c r="E19" s="31"/>
      <c r="F19" s="31"/>
      <c r="G19" s="45"/>
      <c r="H19" s="150"/>
      <c r="I19" s="150"/>
      <c r="J19" s="113"/>
      <c r="K19" s="45"/>
      <c r="L19" s="3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ht="15" customHeight="1" x14ac:dyDescent="0.25">
      <c r="A20" s="148"/>
      <c r="B20" s="148"/>
      <c r="C20" s="238"/>
      <c r="D20" s="239"/>
      <c r="E20" s="31"/>
      <c r="F20" s="31"/>
      <c r="G20" s="45"/>
      <c r="H20" s="150"/>
      <c r="I20" s="150"/>
      <c r="J20" s="113"/>
      <c r="K20" s="45"/>
      <c r="L20" s="3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 ht="25.15" customHeight="1" x14ac:dyDescent="0.25">
      <c r="A21" s="148"/>
      <c r="B21" s="549" t="s">
        <v>128</v>
      </c>
      <c r="C21" s="549"/>
      <c r="D21" s="45"/>
      <c r="E21" s="31"/>
      <c r="F21" s="31"/>
      <c r="G21" s="45"/>
      <c r="H21" s="150"/>
      <c r="I21" s="150"/>
      <c r="J21" s="113"/>
      <c r="K21" s="45"/>
      <c r="L21" s="3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:45" ht="25.15" customHeight="1" thickBot="1" x14ac:dyDescent="0.3">
      <c r="A22" s="148"/>
      <c r="B22" s="148"/>
      <c r="C22" s="148"/>
      <c r="D22" s="45"/>
      <c r="E22" s="31"/>
      <c r="F22" s="31"/>
      <c r="G22" s="45"/>
      <c r="H22" s="150"/>
      <c r="I22" s="150"/>
      <c r="J22" s="113"/>
      <c r="K22" s="45"/>
      <c r="L22" s="3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 spans="1:45" ht="18" customHeight="1" x14ac:dyDescent="0.25">
      <c r="A23" s="148"/>
      <c r="B23" s="148"/>
      <c r="C23" s="240" t="s">
        <v>129</v>
      </c>
      <c r="D23" s="241">
        <f>((C10/1000)/(0.2785*(D19^0.54)*C15))^(1/2.63)</f>
        <v>1.8957845174838239E-2</v>
      </c>
      <c r="E23" s="31" t="s">
        <v>104</v>
      </c>
      <c r="F23" s="31"/>
      <c r="G23" s="551" t="s">
        <v>130</v>
      </c>
      <c r="H23" s="552"/>
      <c r="I23" s="552"/>
      <c r="J23" s="553"/>
      <c r="K23" s="45"/>
      <c r="L23" s="3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ht="18" customHeight="1" x14ac:dyDescent="0.25">
      <c r="A24" s="148"/>
      <c r="B24" s="148"/>
      <c r="C24" s="148"/>
      <c r="D24" s="242">
        <f>(D23*100)/2.54</f>
        <v>0.74637185727709598</v>
      </c>
      <c r="E24" s="31" t="s">
        <v>107</v>
      </c>
      <c r="F24" s="31"/>
      <c r="G24" s="554"/>
      <c r="H24" s="555"/>
      <c r="I24" s="555"/>
      <c r="J24" s="556"/>
      <c r="K24" s="45"/>
      <c r="L24" s="3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:45" ht="18" customHeight="1" thickBot="1" x14ac:dyDescent="0.3">
      <c r="A25" s="148"/>
      <c r="B25" s="148"/>
      <c r="C25" s="148"/>
      <c r="D25" s="243">
        <f>ROUNDUP(D24,0)</f>
        <v>1</v>
      </c>
      <c r="E25" s="45" t="s">
        <v>107</v>
      </c>
      <c r="F25" s="31"/>
      <c r="G25" s="557"/>
      <c r="H25" s="558"/>
      <c r="I25" s="558"/>
      <c r="J25" s="559"/>
      <c r="K25" s="45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:45" ht="18" customHeight="1" x14ac:dyDescent="0.25">
      <c r="A26" s="148"/>
      <c r="B26" s="148"/>
      <c r="C26" s="148"/>
      <c r="D26" s="243">
        <f>IF(D25&lt;=2,2,D25)</f>
        <v>2</v>
      </c>
      <c r="E26" s="45"/>
      <c r="F26" s="31"/>
      <c r="G26" s="244"/>
      <c r="H26" s="244"/>
      <c r="I26" s="244"/>
      <c r="J26" s="244"/>
      <c r="K26" s="45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:45" ht="18" customHeight="1" x14ac:dyDescent="0.25">
      <c r="A27" s="148"/>
      <c r="B27" s="148"/>
      <c r="C27" s="148"/>
      <c r="D27" s="243">
        <v>55.7</v>
      </c>
      <c r="E27" s="45" t="s">
        <v>110</v>
      </c>
      <c r="F27" s="31"/>
      <c r="G27" s="550" t="s">
        <v>135</v>
      </c>
      <c r="H27" s="550"/>
      <c r="I27" s="550"/>
      <c r="J27" s="550"/>
      <c r="K27" s="45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:45" ht="18" customHeight="1" x14ac:dyDescent="0.25">
      <c r="A28" s="148"/>
      <c r="B28" s="148"/>
      <c r="C28" s="148"/>
      <c r="D28" s="245">
        <f>D27/1000</f>
        <v>5.57E-2</v>
      </c>
      <c r="E28" s="45" t="s">
        <v>104</v>
      </c>
      <c r="F28" s="31"/>
      <c r="G28" s="550"/>
      <c r="H28" s="550"/>
      <c r="I28" s="550"/>
      <c r="J28" s="550"/>
      <c r="K28" s="45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</row>
    <row r="29" spans="1:45" ht="25.15" customHeight="1" x14ac:dyDescent="0.25">
      <c r="A29" s="148"/>
      <c r="B29" s="148"/>
      <c r="C29" s="148"/>
      <c r="D29" s="45"/>
      <c r="E29" s="33"/>
      <c r="F29" s="31"/>
      <c r="G29" s="45"/>
      <c r="H29" s="152"/>
      <c r="I29" s="152"/>
      <c r="J29" s="31"/>
      <c r="K29" s="45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</row>
    <row r="30" spans="1:45" ht="25.15" customHeight="1" x14ac:dyDescent="0.25">
      <c r="A30" s="148"/>
      <c r="B30" s="148"/>
      <c r="C30" s="148"/>
      <c r="D30" s="45"/>
      <c r="E30" s="33"/>
      <c r="F30" s="31"/>
      <c r="G30" s="45"/>
      <c r="H30" s="152"/>
      <c r="I30" s="152"/>
      <c r="J30" s="31"/>
      <c r="K30" s="45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</row>
    <row r="31" spans="1:45" ht="25.15" customHeight="1" thickBot="1" x14ac:dyDescent="0.3">
      <c r="A31" s="148"/>
      <c r="B31" s="148"/>
      <c r="C31" s="148"/>
      <c r="D31" s="45"/>
      <c r="E31" s="33"/>
      <c r="F31" s="31"/>
      <c r="G31" s="45"/>
      <c r="H31" s="152"/>
      <c r="I31" s="152"/>
      <c r="J31" s="31"/>
      <c r="K31" s="45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</row>
    <row r="32" spans="1:45" ht="25.15" customHeight="1" x14ac:dyDescent="0.25">
      <c r="A32" s="148"/>
      <c r="B32" s="148"/>
      <c r="C32" s="246" t="s">
        <v>131</v>
      </c>
      <c r="D32" s="247">
        <f>((C10/1000)/(0.2785*(D28^2.63)*C15))^(1/0.54)</f>
        <v>7.5031926249241024E-4</v>
      </c>
      <c r="E32" s="33"/>
      <c r="F32" s="31"/>
      <c r="G32" s="560" t="s">
        <v>132</v>
      </c>
      <c r="H32" s="561"/>
      <c r="I32" s="561"/>
      <c r="J32" s="562"/>
      <c r="K32" s="45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</row>
    <row r="33" spans="1:45" ht="40.9" customHeight="1" thickBot="1" x14ac:dyDescent="0.3">
      <c r="A33" s="148"/>
      <c r="B33" s="148"/>
      <c r="C33" s="148"/>
      <c r="D33" s="45"/>
      <c r="E33" s="33"/>
      <c r="F33" s="31"/>
      <c r="G33" s="563"/>
      <c r="H33" s="564"/>
      <c r="I33" s="564"/>
      <c r="J33" s="565"/>
      <c r="K33" s="45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</row>
    <row r="34" spans="1:45" ht="25.15" customHeight="1" x14ac:dyDescent="0.25">
      <c r="A34" s="148"/>
      <c r="B34" s="148"/>
      <c r="C34" s="148"/>
      <c r="D34" s="45"/>
      <c r="E34" s="33"/>
      <c r="F34" s="31"/>
      <c r="G34" s="113"/>
      <c r="H34" s="113"/>
      <c r="I34" s="113"/>
      <c r="J34" s="113"/>
      <c r="K34" s="45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</row>
    <row r="35" spans="1:45" ht="25.15" customHeight="1" thickBot="1" x14ac:dyDescent="0.3">
      <c r="A35" s="148"/>
      <c r="B35" s="148"/>
      <c r="C35" s="148"/>
      <c r="D35" s="45"/>
      <c r="E35" s="33"/>
      <c r="F35" s="31"/>
      <c r="G35" s="45"/>
      <c r="H35" s="152"/>
      <c r="I35" s="152"/>
      <c r="J35" s="31"/>
      <c r="K35" s="45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</row>
    <row r="36" spans="1:45" ht="25.15" customHeight="1" x14ac:dyDescent="0.25">
      <c r="A36" s="148"/>
      <c r="B36" s="148"/>
      <c r="C36" s="246" t="s">
        <v>133</v>
      </c>
      <c r="D36" s="248">
        <f>D32*E8</f>
        <v>5.252234837446872E-3</v>
      </c>
      <c r="E36" s="249" t="s">
        <v>104</v>
      </c>
      <c r="F36" s="31"/>
      <c r="G36" s="560" t="s">
        <v>134</v>
      </c>
      <c r="H36" s="561"/>
      <c r="I36" s="561"/>
      <c r="J36" s="562"/>
      <c r="K36" s="45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</row>
    <row r="37" spans="1:45" ht="38.450000000000003" customHeight="1" thickBot="1" x14ac:dyDescent="0.3">
      <c r="A37" s="148"/>
      <c r="B37" s="148"/>
      <c r="C37" s="240"/>
      <c r="D37" s="249"/>
      <c r="E37" s="249"/>
      <c r="F37" s="31"/>
      <c r="G37" s="563"/>
      <c r="H37" s="564"/>
      <c r="I37" s="564"/>
      <c r="J37" s="565"/>
      <c r="K37" s="45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</row>
    <row r="38" spans="1:45" ht="25.15" customHeight="1" x14ac:dyDescent="0.25">
      <c r="A38" s="148"/>
      <c r="B38" s="148"/>
      <c r="C38" s="240"/>
      <c r="D38" s="249"/>
      <c r="E38" s="249"/>
      <c r="F38" s="31"/>
      <c r="G38" s="45"/>
      <c r="H38" s="152"/>
      <c r="I38" s="152"/>
      <c r="J38" s="31"/>
      <c r="K38" s="45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</row>
    <row r="39" spans="1:45" ht="25.15" customHeight="1" x14ac:dyDescent="0.25">
      <c r="A39" s="148"/>
      <c r="B39" s="148"/>
      <c r="C39" s="240"/>
      <c r="D39" s="249"/>
      <c r="E39" s="249"/>
      <c r="F39" s="31"/>
      <c r="G39" s="45"/>
      <c r="H39" s="152"/>
      <c r="I39" s="152"/>
      <c r="J39" s="31"/>
      <c r="K39" s="45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</row>
    <row r="40" spans="1:45" ht="25.15" customHeight="1" thickBot="1" x14ac:dyDescent="0.3">
      <c r="A40" s="148"/>
      <c r="B40" s="148"/>
      <c r="C40" s="240"/>
      <c r="D40" s="225"/>
      <c r="E40" s="113">
        <v>211</v>
      </c>
      <c r="F40" s="113"/>
      <c r="G40" s="113"/>
      <c r="H40" s="113"/>
      <c r="I40" s="31"/>
      <c r="J40" s="31"/>
      <c r="K40" s="224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</row>
    <row r="41" spans="1:45" ht="30" customHeight="1" thickTop="1" thickBot="1" x14ac:dyDescent="0.35">
      <c r="A41" s="148"/>
      <c r="B41" s="148"/>
      <c r="C41" s="240"/>
      <c r="D41" s="226"/>
      <c r="E41" s="5"/>
      <c r="F41" s="151"/>
      <c r="G41" s="250"/>
      <c r="H41" s="113"/>
      <c r="I41" s="31"/>
      <c r="J41" s="31"/>
      <c r="K41" s="224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</row>
    <row r="42" spans="1:45" ht="25.15" customHeight="1" thickTop="1" thickBot="1" x14ac:dyDescent="0.35">
      <c r="A42" s="148"/>
      <c r="B42" s="148"/>
      <c r="C42" s="148"/>
      <c r="D42" s="32"/>
      <c r="E42" s="5"/>
      <c r="F42" s="149"/>
      <c r="G42" s="149"/>
      <c r="H42" s="113"/>
      <c r="I42" s="31"/>
      <c r="J42" s="31"/>
      <c r="K42" s="3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</row>
    <row r="43" spans="1:45" ht="49.15" customHeight="1" thickBot="1" x14ac:dyDescent="0.3">
      <c r="A43" s="148"/>
      <c r="B43" s="148"/>
      <c r="C43" s="148"/>
      <c r="D43" s="227" t="s">
        <v>123</v>
      </c>
      <c r="E43" s="228">
        <v>7</v>
      </c>
      <c r="F43" s="151">
        <f>E40-D36</f>
        <v>210.99474776516254</v>
      </c>
      <c r="G43" s="149"/>
      <c r="H43" s="113"/>
      <c r="I43" s="566" t="s">
        <v>152</v>
      </c>
      <c r="J43" s="567"/>
      <c r="K43" s="568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</row>
    <row r="44" spans="1:45" ht="49.15" customHeight="1" x14ac:dyDescent="0.25">
      <c r="A44" s="148"/>
      <c r="B44" s="148"/>
      <c r="C44" s="148"/>
      <c r="D44" s="261"/>
      <c r="E44" s="149"/>
      <c r="F44" s="569"/>
      <c r="G44" s="550"/>
      <c r="H44" s="550"/>
      <c r="I44" s="550"/>
      <c r="J44" s="31"/>
      <c r="K44" s="113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</row>
    <row r="45" spans="1:45" ht="15" customHeight="1" x14ac:dyDescent="0.25">
      <c r="A45" s="148"/>
      <c r="B45" s="148"/>
      <c r="C45" s="148"/>
      <c r="D45" s="113"/>
      <c r="E45" s="229">
        <v>203.11</v>
      </c>
      <c r="F45" s="230"/>
      <c r="G45" s="231"/>
      <c r="H45" s="232"/>
      <c r="I45" s="233"/>
      <c r="J45" s="224"/>
      <c r="K45" s="113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</row>
    <row r="46" spans="1:45" ht="15" customHeight="1" x14ac:dyDescent="0.25">
      <c r="A46" s="148"/>
      <c r="B46" s="148"/>
      <c r="C46" s="148"/>
      <c r="D46" s="113"/>
      <c r="E46" s="150"/>
      <c r="F46" s="230"/>
      <c r="G46" s="234"/>
      <c r="H46" s="232"/>
      <c r="I46" s="233"/>
      <c r="J46" s="224"/>
      <c r="K46" s="229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</row>
    <row r="47" spans="1:45" ht="15" customHeight="1" x14ac:dyDescent="0.25">
      <c r="A47" s="148"/>
      <c r="B47" s="148"/>
      <c r="C47" s="148"/>
      <c r="D47" s="113"/>
      <c r="E47" s="150"/>
      <c r="F47" s="230"/>
      <c r="G47" s="230"/>
      <c r="H47" s="235"/>
      <c r="I47" s="233"/>
      <c r="J47" s="31"/>
      <c r="K47" s="229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</row>
    <row r="48" spans="1:45" ht="15" customHeight="1" x14ac:dyDescent="0.25">
      <c r="A48" s="148"/>
      <c r="B48" s="148"/>
      <c r="C48" s="148"/>
      <c r="D48" s="150"/>
      <c r="E48" s="150"/>
      <c r="F48" s="230"/>
      <c r="G48" s="230"/>
      <c r="H48" s="235"/>
      <c r="I48" s="233"/>
      <c r="J48" s="31"/>
      <c r="K48" s="229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 spans="1:45" ht="15" customHeight="1" x14ac:dyDescent="0.25">
      <c r="A49" s="148"/>
      <c r="B49" s="148"/>
      <c r="C49" s="148"/>
      <c r="D49" s="150"/>
      <c r="E49" s="150"/>
      <c r="F49" s="230"/>
      <c r="G49" s="230"/>
      <c r="H49" s="235"/>
      <c r="I49" s="233"/>
      <c r="J49" s="31"/>
      <c r="K49" s="3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</row>
    <row r="50" spans="1:45" ht="15" customHeight="1" x14ac:dyDescent="0.25">
      <c r="A50" s="148"/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</row>
    <row r="51" spans="1:45" ht="15.75" x14ac:dyDescent="0.25">
      <c r="A51" s="148"/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</row>
    <row r="52" spans="1:45" ht="15.75" x14ac:dyDescent="0.25">
      <c r="A52" s="148"/>
      <c r="B52" s="148"/>
      <c r="C52" s="148"/>
      <c r="D52" s="148"/>
      <c r="E52" s="148"/>
      <c r="F52" s="148"/>
      <c r="G52" s="148"/>
      <c r="H52" s="148"/>
      <c r="I52" s="148"/>
      <c r="J52" s="148"/>
      <c r="K52" s="148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</row>
    <row r="53" spans="1:45" ht="15.75" x14ac:dyDescent="0.25">
      <c r="A53" s="148"/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</row>
    <row r="54" spans="1:45" ht="15.75" x14ac:dyDescent="0.25">
      <c r="A54" s="148"/>
      <c r="B54" s="148"/>
      <c r="C54" s="148"/>
      <c r="D54" s="148"/>
      <c r="E54" s="148"/>
      <c r="F54" s="148"/>
      <c r="G54" s="148"/>
      <c r="H54" s="148"/>
      <c r="I54" s="148"/>
      <c r="J54" s="148"/>
      <c r="K54" s="148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</row>
    <row r="55" spans="1:45" ht="15.75" x14ac:dyDescent="0.25">
      <c r="A55" s="148"/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</row>
    <row r="56" spans="1:45" ht="15.75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</row>
    <row r="57" spans="1:45" ht="15.75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</row>
    <row r="58" spans="1:45" ht="15.75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</row>
    <row r="59" spans="1:45" ht="15.75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</row>
    <row r="60" spans="1:45" ht="15.75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</row>
    <row r="61" spans="1:45" ht="16.5" x14ac:dyDescent="0.3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</row>
    <row r="62" spans="1:45" ht="16.5" x14ac:dyDescent="0.3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</row>
    <row r="63" spans="1:45" ht="16.5" x14ac:dyDescent="0.3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</row>
    <row r="64" spans="1:45" ht="16.5" x14ac:dyDescent="0.3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</row>
    <row r="65" spans="1:45" ht="16.5" x14ac:dyDescent="0.3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</row>
    <row r="66" spans="1:45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</row>
    <row r="67" spans="1:45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</row>
    <row r="68" spans="1:45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</row>
    <row r="69" spans="1:45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</row>
    <row r="70" spans="1:45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</row>
    <row r="71" spans="1:45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</row>
    <row r="72" spans="1:45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</row>
    <row r="73" spans="1:45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</row>
    <row r="74" spans="1:45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</row>
    <row r="75" spans="1:45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</row>
    <row r="76" spans="1:45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</row>
    <row r="77" spans="1:45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</row>
    <row r="78" spans="1:45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</row>
    <row r="79" spans="1:45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</row>
    <row r="80" spans="1:45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</row>
    <row r="81" spans="1:45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</row>
    <row r="82" spans="1:45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</row>
    <row r="83" spans="1:45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</row>
    <row r="84" spans="1:45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</row>
    <row r="85" spans="1:45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</row>
    <row r="86" spans="1:45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</row>
    <row r="87" spans="1:45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</row>
    <row r="88" spans="1:45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</row>
    <row r="89" spans="1:45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</row>
    <row r="90" spans="1:45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</row>
    <row r="91" spans="1:45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</row>
    <row r="92" spans="1:45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</row>
    <row r="93" spans="1:45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</row>
    <row r="94" spans="1:45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</row>
    <row r="95" spans="1:45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</row>
    <row r="96" spans="1:45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</row>
    <row r="97" spans="1:45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</row>
    <row r="98" spans="1:45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</row>
    <row r="99" spans="1:45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</row>
    <row r="100" spans="1:45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</row>
    <row r="101" spans="1:45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</row>
    <row r="102" spans="1:45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</row>
    <row r="103" spans="1:45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</row>
    <row r="104" spans="1:45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</row>
    <row r="105" spans="1:45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</row>
    <row r="106" spans="1:45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</row>
    <row r="107" spans="1:45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</row>
    <row r="108" spans="1:45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</row>
    <row r="109" spans="1:45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</row>
    <row r="110" spans="1:45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</row>
    <row r="111" spans="1:45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</row>
    <row r="112" spans="1:45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</row>
    <row r="113" spans="1:45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</row>
    <row r="114" spans="1:45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</row>
    <row r="115" spans="1:45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</row>
    <row r="116" spans="1:45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</row>
    <row r="117" spans="1:45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</row>
    <row r="118" spans="1:45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</row>
    <row r="119" spans="1:45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</row>
    <row r="120" spans="1:45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</row>
    <row r="121" spans="1:45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</row>
    <row r="122" spans="1:45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</row>
    <row r="123" spans="1:45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</row>
    <row r="124" spans="1:45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</row>
    <row r="125" spans="1:45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</row>
    <row r="126" spans="1:45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</row>
    <row r="127" spans="1:45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</row>
    <row r="128" spans="1:45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</row>
    <row r="129" spans="1:45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</row>
    <row r="130" spans="1:45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</row>
    <row r="131" spans="1:45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</row>
    <row r="132" spans="1:45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</row>
    <row r="133" spans="1:45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</row>
    <row r="134" spans="1:45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</row>
    <row r="135" spans="1:45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</row>
    <row r="136" spans="1:45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</row>
    <row r="137" spans="1:45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</row>
    <row r="138" spans="1:45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</row>
    <row r="139" spans="1:45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</row>
    <row r="140" spans="1:45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</row>
    <row r="141" spans="1:45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</row>
    <row r="142" spans="1:45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</row>
    <row r="143" spans="1:45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</row>
    <row r="144" spans="1:45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</row>
    <row r="145" spans="1:45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</row>
    <row r="146" spans="1:45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</row>
    <row r="147" spans="1:45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</row>
    <row r="148" spans="1:45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</row>
    <row r="149" spans="1:45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</row>
    <row r="150" spans="1:45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</row>
    <row r="151" spans="1:45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</row>
    <row r="152" spans="1:45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</row>
    <row r="153" spans="1:45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</row>
    <row r="154" spans="1:45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</row>
    <row r="155" spans="1:45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</row>
    <row r="156" spans="1:45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</row>
    <row r="157" spans="1:45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</row>
    <row r="158" spans="1:45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</row>
    <row r="159" spans="1:45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</row>
    <row r="160" spans="1:45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</row>
    <row r="161" spans="1:45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</row>
    <row r="162" spans="1:45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</row>
    <row r="163" spans="1:45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</row>
    <row r="164" spans="1:45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</row>
  </sheetData>
  <mergeCells count="12">
    <mergeCell ref="G23:J25"/>
    <mergeCell ref="G32:J33"/>
    <mergeCell ref="G36:J37"/>
    <mergeCell ref="I43:K43"/>
    <mergeCell ref="F44:I44"/>
    <mergeCell ref="G27:J28"/>
    <mergeCell ref="B21:C21"/>
    <mergeCell ref="B2:K2"/>
    <mergeCell ref="D4:E4"/>
    <mergeCell ref="F9:I9"/>
    <mergeCell ref="H16:I16"/>
    <mergeCell ref="B17:C17"/>
  </mergeCell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N371"/>
  <sheetViews>
    <sheetView zoomScale="70" zoomScaleNormal="70" workbookViewId="0">
      <selection activeCell="A29" sqref="A29:H29"/>
    </sheetView>
  </sheetViews>
  <sheetFormatPr baseColWidth="10" defaultRowHeight="15" x14ac:dyDescent="0.25"/>
  <cols>
    <col min="1" max="1" width="5.7109375" customWidth="1"/>
  </cols>
  <sheetData>
    <row r="1" spans="1:66" s="1" customFormat="1" ht="20.100000000000001" customHeight="1" x14ac:dyDescent="0.25"/>
    <row r="2" spans="1:66" ht="50.1" customHeight="1" x14ac:dyDescent="0.25">
      <c r="A2" s="1"/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</row>
    <row r="3" spans="1:66" ht="15" customHeight="1" x14ac:dyDescent="0.25">
      <c r="A3" s="1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</row>
    <row r="4" spans="1:66" ht="20.100000000000001" customHeight="1" x14ac:dyDescent="0.25">
      <c r="A4" s="27"/>
      <c r="B4" s="127" t="s">
        <v>79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</row>
    <row r="5" spans="1:66" ht="9.9499999999999993" customHeight="1" x14ac:dyDescent="0.25">
      <c r="A5" s="27"/>
      <c r="B5" s="127"/>
      <c r="C5" s="27"/>
      <c r="D5" s="27"/>
      <c r="E5" s="27"/>
      <c r="F5" s="27"/>
      <c r="G5" s="27"/>
      <c r="H5" s="27"/>
      <c r="I5" s="571"/>
      <c r="J5" s="571"/>
      <c r="K5" s="571"/>
      <c r="L5" s="571"/>
      <c r="M5" s="571"/>
      <c r="N5" s="571"/>
      <c r="O5" s="571"/>
      <c r="P5" s="571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</row>
    <row r="6" spans="1:66" ht="20.100000000000001" customHeight="1" x14ac:dyDescent="0.25">
      <c r="A6" s="22"/>
      <c r="B6" s="570"/>
      <c r="C6" s="570"/>
      <c r="D6" s="230" t="s">
        <v>76</v>
      </c>
      <c r="E6" s="230" t="s">
        <v>77</v>
      </c>
      <c r="F6" s="233"/>
      <c r="G6" s="233"/>
      <c r="H6" s="22"/>
      <c r="I6" s="22"/>
      <c r="J6" s="531"/>
      <c r="K6" s="531"/>
      <c r="L6" s="131"/>
      <c r="M6" s="131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</row>
    <row r="7" spans="1:66" ht="20.100000000000001" customHeight="1" x14ac:dyDescent="0.25">
      <c r="A7" s="22"/>
      <c r="B7" s="230" t="s">
        <v>81</v>
      </c>
      <c r="C7" s="230" t="s">
        <v>80</v>
      </c>
      <c r="D7" s="233">
        <v>2</v>
      </c>
      <c r="E7" s="433">
        <v>458.40469999999999</v>
      </c>
      <c r="F7" s="233"/>
      <c r="G7" s="233"/>
      <c r="H7" s="22"/>
      <c r="I7" s="22"/>
      <c r="J7" s="131"/>
      <c r="K7" s="131"/>
      <c r="L7" s="22"/>
      <c r="M7" s="130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</row>
    <row r="8" spans="1:66" ht="20.100000000000001" customHeight="1" x14ac:dyDescent="0.25">
      <c r="A8" s="22"/>
      <c r="B8" s="230"/>
      <c r="C8" s="230">
        <v>204</v>
      </c>
      <c r="D8" s="433">
        <f>(E8*D7)/E7</f>
        <v>0.89342408574781196</v>
      </c>
      <c r="E8" s="433">
        <v>204.7749</v>
      </c>
      <c r="F8" s="434" t="s">
        <v>78</v>
      </c>
      <c r="G8" s="435">
        <f>C8-D8</f>
        <v>203.10657591425218</v>
      </c>
      <c r="H8" s="22"/>
      <c r="I8" s="22"/>
      <c r="J8" s="131"/>
      <c r="K8" s="131"/>
      <c r="L8" s="130"/>
      <c r="M8" s="130"/>
      <c r="N8" s="51"/>
      <c r="O8" s="130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</row>
    <row r="9" spans="1:66" ht="9.9499999999999993" customHeight="1" x14ac:dyDescent="0.25">
      <c r="A9" s="571"/>
      <c r="B9" s="571"/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  <c r="P9" s="571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</row>
    <row r="10" spans="1:66" ht="20.100000000000001" customHeight="1" x14ac:dyDescent="0.25">
      <c r="A10" s="22"/>
      <c r="B10" s="570"/>
      <c r="C10" s="570"/>
      <c r="D10" s="230" t="s">
        <v>76</v>
      </c>
      <c r="E10" s="230" t="s">
        <v>77</v>
      </c>
      <c r="F10" s="233"/>
      <c r="G10" s="233"/>
      <c r="H10" s="22"/>
      <c r="I10" s="22"/>
      <c r="J10" s="531"/>
      <c r="K10" s="531"/>
      <c r="L10" s="131"/>
      <c r="M10" s="131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</row>
    <row r="11" spans="1:66" ht="20.100000000000001" customHeight="1" x14ac:dyDescent="0.25">
      <c r="A11" s="22"/>
      <c r="B11" s="230">
        <v>1</v>
      </c>
      <c r="C11" s="230" t="s">
        <v>80</v>
      </c>
      <c r="D11" s="233">
        <v>2</v>
      </c>
      <c r="E11" s="433">
        <v>290.23520000000002</v>
      </c>
      <c r="F11" s="233"/>
      <c r="G11" s="233"/>
      <c r="H11" s="22"/>
      <c r="I11" s="22"/>
      <c r="J11" s="131"/>
      <c r="K11" s="131"/>
      <c r="L11" s="22"/>
      <c r="M11" s="130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</row>
    <row r="12" spans="1:66" ht="20.100000000000001" customHeight="1" x14ac:dyDescent="0.25">
      <c r="A12" s="22"/>
      <c r="B12" s="230"/>
      <c r="C12" s="230">
        <v>204</v>
      </c>
      <c r="D12" s="433">
        <f>(E12*D11)/E11</f>
        <v>1.4212852197114616</v>
      </c>
      <c r="E12" s="433">
        <v>206.2535</v>
      </c>
      <c r="F12" s="434" t="s">
        <v>78</v>
      </c>
      <c r="G12" s="435">
        <f>C12-D12</f>
        <v>202.57871478028855</v>
      </c>
      <c r="H12" s="22"/>
      <c r="I12" s="22"/>
      <c r="J12" s="131"/>
      <c r="K12" s="131"/>
      <c r="L12" s="130"/>
      <c r="M12" s="130"/>
      <c r="N12" s="51"/>
      <c r="O12" s="130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</row>
    <row r="13" spans="1:66" ht="15.75" x14ac:dyDescent="0.25">
      <c r="A13" s="571"/>
      <c r="B13" s="571"/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  <c r="P13" s="571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</row>
    <row r="14" spans="1:66" ht="15.75" x14ac:dyDescent="0.25">
      <c r="A14" s="22"/>
      <c r="B14" s="570"/>
      <c r="C14" s="570"/>
      <c r="D14" s="230" t="s">
        <v>76</v>
      </c>
      <c r="E14" s="230" t="s">
        <v>77</v>
      </c>
      <c r="F14" s="233"/>
      <c r="G14" s="233"/>
      <c r="H14" s="22"/>
      <c r="I14" s="22"/>
      <c r="J14" s="531"/>
      <c r="K14" s="531"/>
      <c r="L14" s="131"/>
      <c r="M14" s="131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</row>
    <row r="15" spans="1:66" ht="15.75" x14ac:dyDescent="0.25">
      <c r="A15" s="22"/>
      <c r="B15" s="230">
        <v>2</v>
      </c>
      <c r="C15" s="230" t="s">
        <v>137</v>
      </c>
      <c r="D15" s="233">
        <v>2</v>
      </c>
      <c r="E15" s="433">
        <v>198.0121</v>
      </c>
      <c r="F15" s="233"/>
      <c r="G15" s="233"/>
      <c r="H15" s="22"/>
      <c r="I15" s="22"/>
      <c r="J15" s="131"/>
      <c r="K15" s="131"/>
      <c r="L15" s="22"/>
      <c r="M15" s="130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</row>
    <row r="16" spans="1:66" ht="15.75" x14ac:dyDescent="0.25">
      <c r="A16" s="22"/>
      <c r="B16" s="230"/>
      <c r="C16" s="230">
        <v>200</v>
      </c>
      <c r="D16" s="433">
        <f>(E16*D15)/E15</f>
        <v>1.1842448012015427</v>
      </c>
      <c r="E16" s="433">
        <v>117.2474</v>
      </c>
      <c r="F16" s="434" t="s">
        <v>78</v>
      </c>
      <c r="G16" s="435">
        <f>C16-D16</f>
        <v>198.81575519879846</v>
      </c>
      <c r="H16" s="22"/>
      <c r="I16" s="22"/>
      <c r="J16" s="131"/>
      <c r="K16" s="131"/>
      <c r="L16" s="130"/>
      <c r="M16" s="130"/>
      <c r="N16" s="51"/>
      <c r="O16" s="130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</row>
    <row r="17" spans="1:66" ht="15.75" x14ac:dyDescent="0.25">
      <c r="A17" s="571"/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</row>
    <row r="18" spans="1:66" ht="15.75" x14ac:dyDescent="0.25">
      <c r="A18" s="22"/>
      <c r="B18" s="570"/>
      <c r="C18" s="570"/>
      <c r="D18" s="230" t="s">
        <v>76</v>
      </c>
      <c r="E18" s="230" t="s">
        <v>77</v>
      </c>
      <c r="F18" s="233"/>
      <c r="G18" s="233"/>
      <c r="H18" s="22"/>
      <c r="I18" s="22"/>
      <c r="J18" s="531"/>
      <c r="K18" s="531"/>
      <c r="L18" s="131"/>
      <c r="M18" s="131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</row>
    <row r="19" spans="1:66" ht="15.75" x14ac:dyDescent="0.25">
      <c r="A19" s="22"/>
      <c r="B19" s="230">
        <v>3</v>
      </c>
      <c r="C19" s="230" t="s">
        <v>80</v>
      </c>
      <c r="D19" s="233">
        <v>2</v>
      </c>
      <c r="E19" s="433">
        <v>48.126899999999999</v>
      </c>
      <c r="F19" s="233"/>
      <c r="G19" s="233"/>
      <c r="H19" s="22"/>
      <c r="I19" s="22"/>
      <c r="J19" s="131"/>
      <c r="K19" s="131"/>
      <c r="L19" s="22"/>
      <c r="M19" s="130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</row>
    <row r="20" spans="1:66" ht="15.75" x14ac:dyDescent="0.25">
      <c r="A20" s="22"/>
      <c r="B20" s="230"/>
      <c r="C20" s="230">
        <v>204</v>
      </c>
      <c r="D20" s="433">
        <f>(E20*D19)/E19</f>
        <v>0.53388022083283981</v>
      </c>
      <c r="E20" s="433">
        <v>12.847</v>
      </c>
      <c r="F20" s="434" t="s">
        <v>78</v>
      </c>
      <c r="G20" s="435">
        <f>C20-D20</f>
        <v>203.46611977916717</v>
      </c>
      <c r="H20" s="22"/>
      <c r="I20" s="22"/>
      <c r="J20" s="131"/>
      <c r="K20" s="131"/>
      <c r="L20" s="130"/>
      <c r="M20" s="130"/>
      <c r="N20" s="51"/>
      <c r="O20" s="130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</row>
    <row r="21" spans="1:66" ht="15.75" x14ac:dyDescent="0.25">
      <c r="A21" s="571"/>
      <c r="B21" s="571"/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571"/>
      <c r="P21" s="571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</row>
    <row r="22" spans="1:66" ht="15.75" x14ac:dyDescent="0.25">
      <c r="A22" s="22"/>
      <c r="B22" s="570"/>
      <c r="C22" s="570"/>
      <c r="D22" s="230" t="s">
        <v>76</v>
      </c>
      <c r="E22" s="230" t="s">
        <v>77</v>
      </c>
      <c r="F22" s="233"/>
      <c r="G22" s="233"/>
      <c r="H22" s="22"/>
      <c r="I22" s="22"/>
      <c r="J22" s="531"/>
      <c r="K22" s="531"/>
      <c r="L22" s="131"/>
      <c r="M22" s="131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</row>
    <row r="23" spans="1:66" ht="15.75" x14ac:dyDescent="0.25">
      <c r="A23" s="22"/>
      <c r="B23" s="230">
        <v>4</v>
      </c>
      <c r="C23" s="230" t="s">
        <v>82</v>
      </c>
      <c r="D23" s="233">
        <v>2</v>
      </c>
      <c r="E23" s="433">
        <v>105.25069999999999</v>
      </c>
      <c r="F23" s="233"/>
      <c r="G23" s="233"/>
      <c r="H23" s="22"/>
      <c r="I23" s="22"/>
      <c r="J23" s="131"/>
      <c r="K23" s="131"/>
      <c r="L23" s="22"/>
      <c r="M23" s="130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</row>
    <row r="24" spans="1:66" ht="15.75" x14ac:dyDescent="0.25">
      <c r="A24" s="22"/>
      <c r="B24" s="230"/>
      <c r="C24" s="230">
        <v>198</v>
      </c>
      <c r="D24" s="433">
        <f>(E24*D23)/E23</f>
        <v>1.0277043288073144</v>
      </c>
      <c r="E24" s="433">
        <v>54.083300000000001</v>
      </c>
      <c r="F24" s="434" t="s">
        <v>78</v>
      </c>
      <c r="G24" s="435">
        <f>C24+D24</f>
        <v>199.02770432880732</v>
      </c>
      <c r="H24" s="22"/>
      <c r="I24" s="22"/>
      <c r="J24" s="131"/>
      <c r="K24" s="131"/>
      <c r="L24" s="130"/>
      <c r="M24" s="130"/>
      <c r="N24" s="51"/>
      <c r="O24" s="130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</row>
    <row r="25" spans="1:66" ht="15.75" x14ac:dyDescent="0.25">
      <c r="A25" s="571"/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71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</row>
    <row r="26" spans="1:66" ht="15.75" x14ac:dyDescent="0.25">
      <c r="A26" s="22"/>
      <c r="B26" s="570"/>
      <c r="C26" s="570"/>
      <c r="D26" s="230" t="s">
        <v>76</v>
      </c>
      <c r="E26" s="230" t="s">
        <v>77</v>
      </c>
      <c r="F26" s="233"/>
      <c r="G26" s="233"/>
      <c r="H26" s="22"/>
      <c r="I26" s="22"/>
      <c r="J26" s="531"/>
      <c r="K26" s="531"/>
      <c r="L26" s="131"/>
      <c r="M26" s="131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</row>
    <row r="27" spans="1:66" ht="15.75" x14ac:dyDescent="0.25">
      <c r="A27" s="22"/>
      <c r="B27" s="230">
        <v>5</v>
      </c>
      <c r="C27" s="230">
        <v>198</v>
      </c>
      <c r="D27" s="233"/>
      <c r="E27" s="433">
        <v>198</v>
      </c>
      <c r="F27" s="233"/>
      <c r="G27" s="233"/>
      <c r="H27" s="22"/>
      <c r="I27" s="22"/>
      <c r="J27" s="131"/>
      <c r="K27" s="131"/>
      <c r="L27" s="22"/>
      <c r="M27" s="130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</row>
    <row r="28" spans="1:66" ht="15.75" x14ac:dyDescent="0.25">
      <c r="A28" s="22"/>
      <c r="B28" s="230"/>
      <c r="C28" s="230">
        <v>198</v>
      </c>
      <c r="D28" s="433">
        <f>(E28*D27)/E27</f>
        <v>0</v>
      </c>
      <c r="E28" s="433">
        <v>0</v>
      </c>
      <c r="F28" s="434" t="s">
        <v>78</v>
      </c>
      <c r="G28" s="435">
        <f>C28+D28</f>
        <v>198</v>
      </c>
      <c r="H28" s="22"/>
      <c r="I28" s="22"/>
      <c r="J28" s="131"/>
      <c r="K28" s="131"/>
      <c r="L28" s="130"/>
      <c r="M28" s="130"/>
      <c r="N28" s="51"/>
      <c r="O28" s="130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</row>
    <row r="29" spans="1:66" ht="15.75" x14ac:dyDescent="0.25">
      <c r="A29" s="571"/>
      <c r="B29" s="571"/>
      <c r="C29" s="571"/>
      <c r="D29" s="571"/>
      <c r="E29" s="571"/>
      <c r="F29" s="571"/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</row>
    <row r="30" spans="1:66" ht="15.75" x14ac:dyDescent="0.25">
      <c r="A30" s="22"/>
      <c r="B30" s="570"/>
      <c r="C30" s="570"/>
      <c r="D30" s="230" t="s">
        <v>76</v>
      </c>
      <c r="E30" s="230" t="s">
        <v>77</v>
      </c>
      <c r="F30" s="233"/>
      <c r="G30" s="233"/>
      <c r="H30" s="22"/>
      <c r="I30" s="22"/>
      <c r="J30" s="531"/>
      <c r="K30" s="531"/>
      <c r="L30" s="131"/>
      <c r="M30" s="131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</row>
    <row r="31" spans="1:66" ht="15.75" x14ac:dyDescent="0.25">
      <c r="A31" s="22"/>
      <c r="B31" s="230">
        <v>6</v>
      </c>
      <c r="C31" s="230" t="s">
        <v>84</v>
      </c>
      <c r="D31" s="233">
        <v>2</v>
      </c>
      <c r="E31" s="433">
        <v>50.360799999999998</v>
      </c>
      <c r="F31" s="233"/>
      <c r="G31" s="233"/>
      <c r="H31" s="22"/>
      <c r="I31" s="22"/>
      <c r="J31" s="131"/>
      <c r="K31" s="131"/>
      <c r="L31" s="22"/>
      <c r="M31" s="130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</row>
    <row r="32" spans="1:66" ht="15.75" x14ac:dyDescent="0.25">
      <c r="A32" s="22"/>
      <c r="B32" s="230"/>
      <c r="C32" s="230">
        <v>196</v>
      </c>
      <c r="D32" s="433">
        <f>(E32*D31)/E31</f>
        <v>2.8232474464265862</v>
      </c>
      <c r="E32" s="433">
        <v>71.090500000000006</v>
      </c>
      <c r="F32" s="434" t="s">
        <v>78</v>
      </c>
      <c r="G32" s="435">
        <f>C32-D32</f>
        <v>193.17675255357341</v>
      </c>
      <c r="H32" s="22"/>
      <c r="I32" s="22"/>
      <c r="J32" s="131"/>
      <c r="K32" s="131"/>
      <c r="L32" s="130"/>
      <c r="M32" s="130"/>
      <c r="N32" s="51"/>
      <c r="O32" s="130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</row>
    <row r="33" spans="1:66" ht="15.75" x14ac:dyDescent="0.25">
      <c r="A33" s="571"/>
      <c r="B33" s="571"/>
      <c r="C33" s="571"/>
      <c r="D33" s="571"/>
      <c r="E33" s="571"/>
      <c r="F33" s="571"/>
      <c r="G33" s="571"/>
      <c r="H33" s="571"/>
      <c r="I33" s="571"/>
      <c r="J33" s="571"/>
      <c r="K33" s="571"/>
      <c r="L33" s="571"/>
      <c r="M33" s="571"/>
      <c r="N33" s="571"/>
      <c r="O33" s="571"/>
      <c r="P33" s="571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</row>
    <row r="34" spans="1:66" ht="15.75" x14ac:dyDescent="0.25">
      <c r="A34" s="22"/>
      <c r="B34" s="570"/>
      <c r="C34" s="570"/>
      <c r="D34" s="230" t="s">
        <v>76</v>
      </c>
      <c r="E34" s="230" t="s">
        <v>77</v>
      </c>
      <c r="F34" s="233"/>
      <c r="G34" s="233"/>
      <c r="H34" s="22"/>
      <c r="I34" s="22"/>
      <c r="J34" s="531"/>
      <c r="K34" s="531"/>
      <c r="L34" s="131"/>
      <c r="M34" s="131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</row>
    <row r="35" spans="1:66" ht="15.75" x14ac:dyDescent="0.25">
      <c r="A35" s="22"/>
      <c r="B35" s="230">
        <v>7</v>
      </c>
      <c r="C35" s="230" t="s">
        <v>138</v>
      </c>
      <c r="D35" s="233">
        <v>2</v>
      </c>
      <c r="E35" s="433">
        <v>68.498000000000005</v>
      </c>
      <c r="F35" s="233"/>
      <c r="G35" s="233"/>
      <c r="H35" s="22"/>
      <c r="I35" s="22"/>
      <c r="J35" s="131"/>
      <c r="K35" s="131"/>
      <c r="L35" s="22"/>
      <c r="M35" s="130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</row>
    <row r="36" spans="1:66" ht="15.75" x14ac:dyDescent="0.25">
      <c r="A36" s="22"/>
      <c r="B36" s="230"/>
      <c r="C36" s="230">
        <v>194</v>
      </c>
      <c r="D36" s="433">
        <f>(E36*D35)/E35</f>
        <v>0.32283570323221117</v>
      </c>
      <c r="E36" s="433">
        <v>11.056800000000001</v>
      </c>
      <c r="F36" s="434" t="s">
        <v>78</v>
      </c>
      <c r="G36" s="435">
        <f>C36+D36</f>
        <v>194.32283570323222</v>
      </c>
      <c r="H36" s="22"/>
      <c r="I36" s="22"/>
      <c r="J36" s="131"/>
      <c r="K36" s="131"/>
      <c r="L36" s="130"/>
      <c r="M36" s="130"/>
      <c r="N36" s="51"/>
      <c r="O36" s="130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</row>
    <row r="37" spans="1:66" ht="15.75" x14ac:dyDescent="0.25">
      <c r="A37" s="571"/>
      <c r="B37" s="571"/>
      <c r="C37" s="571"/>
      <c r="D37" s="571"/>
      <c r="E37" s="571"/>
      <c r="F37" s="571"/>
      <c r="G37" s="571"/>
      <c r="H37" s="571"/>
      <c r="I37" s="571"/>
      <c r="J37" s="571"/>
      <c r="K37" s="571"/>
      <c r="L37" s="571"/>
      <c r="M37" s="571"/>
      <c r="N37" s="571"/>
      <c r="O37" s="571"/>
      <c r="P37" s="571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</row>
    <row r="38" spans="1:66" ht="15.75" x14ac:dyDescent="0.25">
      <c r="A38" s="22"/>
      <c r="B38" s="570"/>
      <c r="C38" s="570"/>
      <c r="D38" s="230" t="s">
        <v>76</v>
      </c>
      <c r="E38" s="230" t="s">
        <v>77</v>
      </c>
      <c r="F38" s="233"/>
      <c r="G38" s="233"/>
      <c r="H38" s="22"/>
      <c r="I38" s="22"/>
      <c r="J38" s="531"/>
      <c r="K38" s="531"/>
      <c r="L38" s="131"/>
      <c r="M38" s="131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</row>
    <row r="39" spans="1:66" ht="15.75" x14ac:dyDescent="0.25">
      <c r="A39" s="22"/>
      <c r="B39" s="230">
        <v>8</v>
      </c>
      <c r="C39" s="230">
        <v>202</v>
      </c>
      <c r="D39" s="233"/>
      <c r="E39" s="433">
        <v>202</v>
      </c>
      <c r="F39" s="233"/>
      <c r="G39" s="233"/>
      <c r="H39" s="22"/>
      <c r="I39" s="22"/>
      <c r="J39" s="131"/>
      <c r="K39" s="131"/>
      <c r="L39" s="22"/>
      <c r="M39" s="130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</row>
    <row r="40" spans="1:66" ht="15.75" x14ac:dyDescent="0.25">
      <c r="A40" s="22"/>
      <c r="B40" s="230"/>
      <c r="C40" s="230">
        <v>202</v>
      </c>
      <c r="D40" s="433">
        <v>0</v>
      </c>
      <c r="E40" s="433">
        <v>0</v>
      </c>
      <c r="F40" s="434" t="s">
        <v>78</v>
      </c>
      <c r="G40" s="435">
        <f>C40+D40</f>
        <v>202</v>
      </c>
      <c r="H40" s="22"/>
      <c r="I40" s="22"/>
      <c r="J40" s="131"/>
      <c r="K40" s="131"/>
      <c r="L40" s="130"/>
      <c r="M40" s="130"/>
      <c r="N40" s="51"/>
      <c r="O40" s="130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</row>
    <row r="41" spans="1:66" ht="15.75" x14ac:dyDescent="0.25">
      <c r="A41" s="571"/>
      <c r="B41" s="571"/>
      <c r="C41" s="571"/>
      <c r="D41" s="571"/>
      <c r="E41" s="571"/>
      <c r="F41" s="571"/>
      <c r="G41" s="571"/>
      <c r="H41" s="571"/>
      <c r="I41" s="571"/>
      <c r="J41" s="571"/>
      <c r="K41" s="571"/>
      <c r="L41" s="571"/>
      <c r="M41" s="571"/>
      <c r="N41" s="571"/>
      <c r="O41" s="571"/>
      <c r="P41" s="571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</row>
    <row r="42" spans="1:66" ht="15.75" x14ac:dyDescent="0.25">
      <c r="A42" s="22"/>
      <c r="B42" s="570"/>
      <c r="C42" s="570"/>
      <c r="D42" s="230" t="s">
        <v>76</v>
      </c>
      <c r="E42" s="230" t="s">
        <v>77</v>
      </c>
      <c r="F42" s="233"/>
      <c r="G42" s="233"/>
      <c r="H42" s="22"/>
      <c r="I42" s="22"/>
      <c r="J42" s="531"/>
      <c r="K42" s="531"/>
      <c r="L42" s="131"/>
      <c r="M42" s="131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</row>
    <row r="43" spans="1:66" ht="15.75" x14ac:dyDescent="0.25">
      <c r="A43" s="22"/>
      <c r="B43" s="230">
        <v>9</v>
      </c>
      <c r="C43" s="230" t="s">
        <v>84</v>
      </c>
      <c r="D43" s="233">
        <v>2</v>
      </c>
      <c r="E43" s="433">
        <v>26.645099999999999</v>
      </c>
      <c r="F43" s="233"/>
      <c r="G43" s="233"/>
      <c r="H43" s="22"/>
      <c r="I43" s="22"/>
      <c r="J43" s="131"/>
      <c r="K43" s="131"/>
      <c r="L43" s="22"/>
      <c r="M43" s="130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</row>
    <row r="44" spans="1:66" ht="15.75" x14ac:dyDescent="0.25">
      <c r="A44" s="22"/>
      <c r="B44" s="230"/>
      <c r="C44" s="230">
        <v>196</v>
      </c>
      <c r="D44" s="433">
        <f>(E44*D43)/E43</f>
        <v>1.4209366825420058</v>
      </c>
      <c r="E44" s="433">
        <v>18.930499999999999</v>
      </c>
      <c r="F44" s="434" t="s">
        <v>78</v>
      </c>
      <c r="G44" s="435">
        <f>C44-D44</f>
        <v>194.57906331745801</v>
      </c>
      <c r="H44" s="22"/>
      <c r="I44" s="22"/>
      <c r="J44" s="131"/>
      <c r="K44" s="131"/>
      <c r="L44" s="130"/>
      <c r="M44" s="130"/>
      <c r="N44" s="51"/>
      <c r="O44" s="130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</row>
    <row r="45" spans="1:66" ht="15.75" x14ac:dyDescent="0.25">
      <c r="A45" s="571"/>
      <c r="B45" s="571"/>
      <c r="C45" s="571"/>
      <c r="D45" s="571"/>
      <c r="E45" s="571"/>
      <c r="F45" s="571"/>
      <c r="G45" s="571"/>
      <c r="H45" s="571"/>
      <c r="I45" s="22"/>
      <c r="J45" s="131"/>
      <c r="K45" s="131"/>
      <c r="L45" s="130"/>
      <c r="M45" s="130"/>
      <c r="N45" s="51"/>
      <c r="O45" s="130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</row>
    <row r="46" spans="1:66" ht="15.75" x14ac:dyDescent="0.25">
      <c r="A46" s="22"/>
      <c r="B46" s="570"/>
      <c r="C46" s="570"/>
      <c r="D46" s="230" t="s">
        <v>76</v>
      </c>
      <c r="E46" s="230" t="s">
        <v>77</v>
      </c>
      <c r="F46" s="233"/>
      <c r="G46" s="233"/>
      <c r="H46" s="22"/>
      <c r="I46" s="22"/>
      <c r="J46" s="531"/>
      <c r="K46" s="531"/>
      <c r="L46" s="131"/>
      <c r="M46" s="131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</row>
    <row r="47" spans="1:66" ht="15.75" x14ac:dyDescent="0.25">
      <c r="A47" s="22"/>
      <c r="B47" s="230">
        <v>10</v>
      </c>
      <c r="C47" s="230" t="s">
        <v>84</v>
      </c>
      <c r="D47" s="233">
        <v>2</v>
      </c>
      <c r="E47" s="433">
        <v>28.471699999999998</v>
      </c>
      <c r="F47" s="233"/>
      <c r="G47" s="233"/>
      <c r="H47" s="22"/>
      <c r="I47" s="22"/>
      <c r="J47" s="131"/>
      <c r="K47" s="131"/>
      <c r="L47" s="22"/>
      <c r="M47" s="130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</row>
    <row r="48" spans="1:66" ht="15.75" x14ac:dyDescent="0.25">
      <c r="A48" s="22"/>
      <c r="B48" s="230"/>
      <c r="C48" s="230">
        <v>196</v>
      </c>
      <c r="D48" s="433">
        <f>(E48*D47)/E47</f>
        <v>1.5821113597010366</v>
      </c>
      <c r="E48" s="433">
        <v>22.5227</v>
      </c>
      <c r="F48" s="434" t="s">
        <v>78</v>
      </c>
      <c r="G48" s="435">
        <f>C48-D48</f>
        <v>194.41788864029897</v>
      </c>
      <c r="H48" s="22"/>
      <c r="I48" s="22"/>
      <c r="J48" s="131"/>
      <c r="K48" s="131"/>
      <c r="L48" s="130"/>
      <c r="M48" s="130"/>
      <c r="N48" s="51"/>
      <c r="O48" s="130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</row>
    <row r="49" spans="1:66" ht="15.75" x14ac:dyDescent="0.25">
      <c r="A49" s="571"/>
      <c r="B49" s="571"/>
      <c r="C49" s="571"/>
      <c r="D49" s="571"/>
      <c r="E49" s="571"/>
      <c r="F49" s="571"/>
      <c r="G49" s="571"/>
      <c r="H49" s="571"/>
      <c r="I49" s="22"/>
      <c r="J49" s="131"/>
      <c r="K49" s="131"/>
      <c r="L49" s="130"/>
      <c r="M49" s="130"/>
      <c r="N49" s="51"/>
      <c r="O49" s="130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</row>
    <row r="50" spans="1:66" ht="15.75" x14ac:dyDescent="0.25">
      <c r="A50" s="22"/>
      <c r="B50" s="570"/>
      <c r="C50" s="570"/>
      <c r="D50" s="230" t="s">
        <v>76</v>
      </c>
      <c r="E50" s="230" t="s">
        <v>77</v>
      </c>
      <c r="F50" s="233"/>
      <c r="G50" s="233"/>
      <c r="H50" s="22"/>
      <c r="I50" s="22"/>
      <c r="J50" s="531"/>
      <c r="K50" s="531"/>
      <c r="L50" s="131"/>
      <c r="M50" s="131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</row>
    <row r="51" spans="1:66" ht="15.75" x14ac:dyDescent="0.25">
      <c r="A51" s="22"/>
      <c r="B51" s="230">
        <v>11</v>
      </c>
      <c r="C51" s="230" t="s">
        <v>138</v>
      </c>
      <c r="D51" s="233">
        <v>2</v>
      </c>
      <c r="E51" s="433">
        <v>59.000100000000003</v>
      </c>
      <c r="F51" s="233"/>
      <c r="G51" s="233"/>
      <c r="H51" s="22"/>
      <c r="I51" s="22"/>
      <c r="J51" s="131"/>
      <c r="K51" s="131"/>
      <c r="L51" s="22"/>
      <c r="M51" s="130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</row>
    <row r="52" spans="1:66" ht="15.75" x14ac:dyDescent="0.25">
      <c r="A52" s="22"/>
      <c r="B52" s="230"/>
      <c r="C52" s="230">
        <v>194</v>
      </c>
      <c r="D52" s="433">
        <f>(E52*D51)/E51</f>
        <v>0.21120303185926803</v>
      </c>
      <c r="E52" s="433">
        <v>6.2305000000000001</v>
      </c>
      <c r="F52" s="434" t="s">
        <v>78</v>
      </c>
      <c r="G52" s="435">
        <f>C52+D52</f>
        <v>194.21120303185927</v>
      </c>
      <c r="H52" s="22"/>
      <c r="I52" s="22"/>
      <c r="J52" s="131"/>
      <c r="K52" s="131"/>
      <c r="L52" s="130"/>
      <c r="M52" s="130"/>
      <c r="N52" s="51"/>
      <c r="O52" s="130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</row>
    <row r="53" spans="1:66" ht="15.75" x14ac:dyDescent="0.25">
      <c r="A53" s="571"/>
      <c r="B53" s="571"/>
      <c r="C53" s="571"/>
      <c r="D53" s="571"/>
      <c r="E53" s="571"/>
      <c r="F53" s="571"/>
      <c r="G53" s="571"/>
      <c r="H53" s="57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</row>
    <row r="54" spans="1:66" ht="15.75" x14ac:dyDescent="0.25">
      <c r="A54" s="22"/>
      <c r="B54" s="570"/>
      <c r="C54" s="570"/>
      <c r="D54" s="230" t="s">
        <v>76</v>
      </c>
      <c r="E54" s="230" t="s">
        <v>77</v>
      </c>
      <c r="F54" s="233"/>
      <c r="G54" s="233"/>
      <c r="H54" s="22"/>
      <c r="I54" s="22"/>
      <c r="J54" s="531"/>
      <c r="K54" s="531"/>
      <c r="L54" s="131"/>
      <c r="M54" s="131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</row>
    <row r="55" spans="1:66" ht="15.75" x14ac:dyDescent="0.25">
      <c r="A55" s="22"/>
      <c r="B55" s="230">
        <v>12</v>
      </c>
      <c r="C55" s="230" t="s">
        <v>87</v>
      </c>
      <c r="D55" s="233">
        <v>2</v>
      </c>
      <c r="E55" s="433">
        <v>108.9706</v>
      </c>
      <c r="F55" s="233"/>
      <c r="G55" s="233"/>
      <c r="H55" s="22"/>
      <c r="I55" s="22"/>
      <c r="J55" s="131"/>
      <c r="K55" s="131"/>
      <c r="L55" s="22"/>
      <c r="M55" s="130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</row>
    <row r="56" spans="1:66" ht="15.75" x14ac:dyDescent="0.25">
      <c r="A56" s="22"/>
      <c r="B56" s="230"/>
      <c r="C56" s="230">
        <v>190</v>
      </c>
      <c r="D56" s="433">
        <f>(E56*D55)/E55</f>
        <v>1.4327075376294154</v>
      </c>
      <c r="E56" s="433">
        <v>78.061499999999995</v>
      </c>
      <c r="F56" s="434" t="s">
        <v>78</v>
      </c>
      <c r="G56" s="435">
        <f>C56+D56</f>
        <v>191.43270753762943</v>
      </c>
      <c r="H56" s="22"/>
      <c r="I56" s="22"/>
      <c r="J56" s="131"/>
      <c r="K56" s="131"/>
      <c r="L56" s="130"/>
      <c r="M56" s="130"/>
      <c r="N56" s="51"/>
      <c r="O56" s="130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</row>
    <row r="57" spans="1:66" ht="15.75" x14ac:dyDescent="0.25">
      <c r="A57" s="571"/>
      <c r="B57" s="571"/>
      <c r="C57" s="571"/>
      <c r="D57" s="571"/>
      <c r="E57" s="571"/>
      <c r="F57" s="571"/>
      <c r="G57" s="571"/>
      <c r="H57" s="57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</row>
    <row r="58" spans="1:66" ht="15.75" x14ac:dyDescent="0.25">
      <c r="A58" s="22"/>
      <c r="B58" s="570"/>
      <c r="C58" s="570"/>
      <c r="D58" s="230" t="s">
        <v>76</v>
      </c>
      <c r="E58" s="230" t="s">
        <v>77</v>
      </c>
      <c r="F58" s="233"/>
      <c r="G58" s="23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</row>
    <row r="59" spans="1:66" ht="15.75" x14ac:dyDescent="0.25">
      <c r="A59" s="22"/>
      <c r="B59" s="230">
        <v>13</v>
      </c>
      <c r="C59" s="230" t="s">
        <v>89</v>
      </c>
      <c r="D59" s="233">
        <v>2</v>
      </c>
      <c r="E59" s="433">
        <v>116.9414</v>
      </c>
      <c r="F59" s="233"/>
      <c r="G59" s="23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</row>
    <row r="60" spans="1:66" ht="15.75" x14ac:dyDescent="0.25">
      <c r="A60" s="22"/>
      <c r="B60" s="230"/>
      <c r="C60" s="230">
        <v>194</v>
      </c>
      <c r="D60" s="433">
        <f>(E60*D59)/E59</f>
        <v>0.72633472833402024</v>
      </c>
      <c r="E60" s="433">
        <v>42.469299999999997</v>
      </c>
      <c r="F60" s="434" t="s">
        <v>78</v>
      </c>
      <c r="G60" s="435">
        <f>C60-D60</f>
        <v>193.27366527166598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</row>
    <row r="61" spans="1:66" ht="15.75" x14ac:dyDescent="0.25">
      <c r="A61" s="571"/>
      <c r="B61" s="571"/>
      <c r="C61" s="571"/>
      <c r="D61" s="571"/>
      <c r="E61" s="571"/>
      <c r="F61" s="571"/>
      <c r="G61" s="571"/>
      <c r="H61" s="57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</row>
    <row r="62" spans="1:66" ht="15.75" x14ac:dyDescent="0.25">
      <c r="A62" s="22"/>
      <c r="B62" s="572"/>
      <c r="C62" s="572"/>
      <c r="D62" s="453" t="s">
        <v>76</v>
      </c>
      <c r="E62" s="453" t="s">
        <v>77</v>
      </c>
      <c r="F62" s="454"/>
      <c r="G62" s="454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</row>
    <row r="63" spans="1:66" ht="15.75" x14ac:dyDescent="0.25">
      <c r="A63" s="22"/>
      <c r="B63" s="453">
        <v>14</v>
      </c>
      <c r="C63" s="453">
        <v>194</v>
      </c>
      <c r="D63" s="454">
        <v>2</v>
      </c>
      <c r="E63" s="455">
        <v>194</v>
      </c>
      <c r="F63" s="454"/>
      <c r="G63" s="454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</row>
    <row r="64" spans="1:66" ht="15.75" x14ac:dyDescent="0.25">
      <c r="A64" s="22"/>
      <c r="B64" s="453"/>
      <c r="C64" s="453">
        <v>194</v>
      </c>
      <c r="D64" s="455">
        <v>0</v>
      </c>
      <c r="E64" s="455">
        <v>0</v>
      </c>
      <c r="F64" s="456" t="s">
        <v>78</v>
      </c>
      <c r="G64" s="455">
        <f>C64-D64</f>
        <v>194</v>
      </c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</row>
    <row r="65" spans="1:66" ht="15.75" x14ac:dyDescent="0.25">
      <c r="A65" s="571"/>
      <c r="B65" s="571"/>
      <c r="C65" s="571"/>
      <c r="D65" s="571"/>
      <c r="E65" s="571"/>
      <c r="F65" s="571"/>
      <c r="G65" s="571"/>
      <c r="H65" s="57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</row>
    <row r="66" spans="1:66" ht="15.75" x14ac:dyDescent="0.25">
      <c r="A66" s="1"/>
      <c r="B66" s="570"/>
      <c r="C66" s="570"/>
      <c r="D66" s="230" t="s">
        <v>76</v>
      </c>
      <c r="E66" s="230" t="s">
        <v>77</v>
      </c>
      <c r="F66" s="233"/>
      <c r="G66" s="233"/>
      <c r="H66" s="1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</row>
    <row r="67" spans="1:66" ht="15.75" x14ac:dyDescent="0.25">
      <c r="A67" s="1"/>
      <c r="B67" s="230">
        <v>15</v>
      </c>
      <c r="C67" s="230" t="s">
        <v>138</v>
      </c>
      <c r="D67" s="233">
        <v>2</v>
      </c>
      <c r="E67" s="433">
        <v>218.42939999999999</v>
      </c>
      <c r="F67" s="233"/>
      <c r="G67" s="233"/>
      <c r="H67" s="1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66" ht="15.75" x14ac:dyDescent="0.25">
      <c r="A68" s="1"/>
      <c r="B68" s="230"/>
      <c r="C68" s="230">
        <v>194</v>
      </c>
      <c r="D68" s="433">
        <f>(E68*D67)/E67</f>
        <v>0.2340371763141775</v>
      </c>
      <c r="E68" s="433">
        <v>25.560300000000002</v>
      </c>
      <c r="F68" s="434" t="s">
        <v>78</v>
      </c>
      <c r="G68" s="435">
        <f>C68+D68</f>
        <v>194.23403717631419</v>
      </c>
      <c r="H68" s="1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</row>
    <row r="69" spans="1:66" ht="15.75" x14ac:dyDescent="0.25">
      <c r="A69" s="1"/>
      <c r="B69" s="265"/>
      <c r="C69" s="265"/>
      <c r="D69" s="130"/>
      <c r="E69" s="130"/>
      <c r="F69" s="51"/>
      <c r="G69" s="130"/>
      <c r="H69" s="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</row>
    <row r="70" spans="1:66" ht="15.75" x14ac:dyDescent="0.25">
      <c r="A70" s="1"/>
      <c r="B70" s="570"/>
      <c r="C70" s="570"/>
      <c r="D70" s="230" t="s">
        <v>76</v>
      </c>
      <c r="E70" s="230" t="s">
        <v>77</v>
      </c>
      <c r="F70" s="233"/>
      <c r="G70" s="233"/>
      <c r="H70" s="1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</row>
    <row r="71" spans="1:66" ht="15.75" x14ac:dyDescent="0.25">
      <c r="A71" s="1"/>
      <c r="B71" s="230">
        <v>16</v>
      </c>
      <c r="C71" s="230" t="s">
        <v>87</v>
      </c>
      <c r="D71" s="233">
        <v>2</v>
      </c>
      <c r="E71" s="433">
        <v>149.73949999999999</v>
      </c>
      <c r="F71" s="233"/>
      <c r="G71" s="233"/>
      <c r="H71" s="1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66" ht="15.75" x14ac:dyDescent="0.25">
      <c r="A72" s="1"/>
      <c r="B72" s="230"/>
      <c r="C72" s="230">
        <v>190</v>
      </c>
      <c r="D72" s="433">
        <f>(E72*D71)/E71</f>
        <v>1.5763789781587358</v>
      </c>
      <c r="E72" s="433">
        <v>118.0231</v>
      </c>
      <c r="F72" s="434" t="s">
        <v>78</v>
      </c>
      <c r="G72" s="435">
        <f>C72+D72</f>
        <v>191.57637897815874</v>
      </c>
      <c r="H72" s="1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66" ht="15.75" x14ac:dyDescent="0.25">
      <c r="A73" s="1"/>
      <c r="B73" s="1"/>
      <c r="C73" s="1"/>
      <c r="D73" s="1"/>
      <c r="E73" s="1"/>
      <c r="F73" s="1"/>
      <c r="G73" s="1"/>
      <c r="H73" s="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66" ht="15.75" x14ac:dyDescent="0.25">
      <c r="A74" s="1"/>
      <c r="B74" s="1"/>
      <c r="C74" s="1"/>
      <c r="D74" s="1"/>
      <c r="E74" s="1"/>
      <c r="F74" s="1"/>
      <c r="G74" s="1"/>
      <c r="H74" s="1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66" ht="15.75" x14ac:dyDescent="0.25">
      <c r="A75" s="1"/>
      <c r="B75" s="1"/>
      <c r="C75" s="1"/>
      <c r="D75" s="1"/>
      <c r="E75" s="1"/>
      <c r="F75" s="1"/>
      <c r="G75" s="1"/>
      <c r="H75" s="1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</row>
    <row r="76" spans="1:66" ht="15.75" x14ac:dyDescent="0.25">
      <c r="A76" s="1"/>
      <c r="B76" s="1"/>
      <c r="C76" s="1"/>
      <c r="D76" s="1"/>
      <c r="E76" s="1"/>
      <c r="F76" s="1"/>
      <c r="G76" s="1"/>
      <c r="H76" s="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</row>
    <row r="77" spans="1:66" ht="15.75" x14ac:dyDescent="0.25">
      <c r="A77" s="1"/>
      <c r="B77" s="1"/>
      <c r="C77" s="1"/>
      <c r="D77" s="1"/>
      <c r="E77" s="1"/>
      <c r="F77" s="1"/>
      <c r="G77" s="1"/>
      <c r="H77" s="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</row>
    <row r="78" spans="1:66" ht="15.75" x14ac:dyDescent="0.25">
      <c r="A78" s="1"/>
      <c r="B78" s="1"/>
      <c r="C78" s="1"/>
      <c r="D78" s="1"/>
      <c r="E78" s="1"/>
      <c r="F78" s="1"/>
      <c r="G78" s="1"/>
      <c r="H78" s="1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</row>
    <row r="79" spans="1:66" ht="15.75" x14ac:dyDescent="0.25">
      <c r="A79" s="1"/>
      <c r="B79" s="1"/>
      <c r="C79" s="1"/>
      <c r="D79" s="1"/>
      <c r="E79" s="1"/>
      <c r="F79" s="1"/>
      <c r="G79" s="1"/>
      <c r="H79" s="1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</row>
    <row r="80" spans="1:66" ht="15.75" x14ac:dyDescent="0.25">
      <c r="A80" s="1"/>
      <c r="B80" s="1"/>
      <c r="C80" s="1"/>
      <c r="D80" s="1"/>
      <c r="E80" s="1"/>
      <c r="F80" s="1"/>
      <c r="G80" s="1"/>
      <c r="H80" s="1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</row>
    <row r="81" spans="1:66" ht="15.75" x14ac:dyDescent="0.25">
      <c r="A81" s="1"/>
      <c r="B81" s="1"/>
      <c r="C81" s="1"/>
      <c r="D81" s="1"/>
      <c r="E81" s="1"/>
      <c r="F81" s="1"/>
      <c r="G81" s="1"/>
      <c r="H81" s="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</row>
    <row r="82" spans="1:66" ht="15.75" x14ac:dyDescent="0.25">
      <c r="A82" s="1"/>
      <c r="B82" s="1"/>
      <c r="C82" s="1"/>
      <c r="D82" s="1"/>
      <c r="E82" s="1"/>
      <c r="F82" s="1"/>
      <c r="G82" s="1"/>
      <c r="H82" s="1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</row>
    <row r="83" spans="1:66" ht="15.75" x14ac:dyDescent="0.25">
      <c r="A83" s="1"/>
      <c r="B83" s="1"/>
      <c r="C83" s="1"/>
      <c r="D83" s="1"/>
      <c r="E83" s="1"/>
      <c r="F83" s="1"/>
      <c r="G83" s="1"/>
      <c r="H83" s="1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</row>
    <row r="84" spans="1:66" ht="15.75" x14ac:dyDescent="0.25">
      <c r="A84" s="1"/>
      <c r="B84" s="1"/>
      <c r="C84" s="1"/>
      <c r="D84" s="1"/>
      <c r="E84" s="1"/>
      <c r="F84" s="1"/>
      <c r="G84" s="1"/>
      <c r="H84" s="1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</row>
    <row r="85" spans="1:66" ht="15.75" x14ac:dyDescent="0.25">
      <c r="A85" s="1"/>
      <c r="B85" s="1"/>
      <c r="C85" s="1"/>
      <c r="D85" s="1"/>
      <c r="E85" s="1"/>
      <c r="F85" s="1"/>
      <c r="G85" s="1"/>
      <c r="H85" s="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</row>
    <row r="86" spans="1:66" ht="15.75" x14ac:dyDescent="0.25">
      <c r="A86" s="1"/>
      <c r="B86" s="1"/>
      <c r="C86" s="1"/>
      <c r="D86" s="1"/>
      <c r="E86" s="1"/>
      <c r="F86" s="1"/>
      <c r="G86" s="1"/>
      <c r="H86" s="1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</row>
    <row r="87" spans="1:66" ht="15.75" x14ac:dyDescent="0.25">
      <c r="A87" s="1"/>
      <c r="B87" s="1"/>
      <c r="C87" s="1"/>
      <c r="D87" s="1"/>
      <c r="E87" s="1"/>
      <c r="F87" s="1"/>
      <c r="G87" s="1"/>
      <c r="H87" s="1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</row>
    <row r="88" spans="1:66" ht="15.75" x14ac:dyDescent="0.25">
      <c r="A88" s="1"/>
      <c r="B88" s="1"/>
      <c r="C88" s="1"/>
      <c r="D88" s="1"/>
      <c r="E88" s="1"/>
      <c r="F88" s="1"/>
      <c r="G88" s="1"/>
      <c r="H88" s="1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</row>
    <row r="89" spans="1:66" ht="15.75" x14ac:dyDescent="0.25">
      <c r="A89" s="1"/>
      <c r="B89" s="1"/>
      <c r="C89" s="1"/>
      <c r="D89" s="1"/>
      <c r="E89" s="1"/>
      <c r="F89" s="1"/>
      <c r="G89" s="1"/>
      <c r="H89" s="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</row>
    <row r="90" spans="1:66" ht="15.75" x14ac:dyDescent="0.25">
      <c r="A90" s="1"/>
      <c r="B90" s="1"/>
      <c r="C90" s="1"/>
      <c r="D90" s="1"/>
      <c r="E90" s="1"/>
      <c r="F90" s="1"/>
      <c r="G90" s="1"/>
      <c r="H90" s="1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</row>
    <row r="91" spans="1:66" ht="15.75" x14ac:dyDescent="0.25">
      <c r="A91" s="1"/>
      <c r="B91" s="1"/>
      <c r="C91" s="1"/>
      <c r="D91" s="1"/>
      <c r="E91" s="1"/>
      <c r="F91" s="1"/>
      <c r="G91" s="1"/>
      <c r="H91" s="1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</row>
    <row r="92" spans="1:66" ht="15.75" x14ac:dyDescent="0.25">
      <c r="A92" s="1"/>
      <c r="B92" s="1"/>
      <c r="C92" s="1"/>
      <c r="D92" s="1"/>
      <c r="E92" s="1"/>
      <c r="F92" s="1"/>
      <c r="G92" s="1"/>
      <c r="H92" s="1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</row>
    <row r="93" spans="1:66" ht="15.75" x14ac:dyDescent="0.25">
      <c r="A93" s="1"/>
      <c r="B93" s="1"/>
      <c r="C93" s="1"/>
      <c r="D93" s="1"/>
      <c r="E93" s="1"/>
      <c r="F93" s="1"/>
      <c r="G93" s="1"/>
      <c r="H93" s="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</row>
    <row r="94" spans="1:66" ht="15.75" x14ac:dyDescent="0.25">
      <c r="A94" s="1"/>
      <c r="B94" s="1"/>
      <c r="C94" s="1"/>
      <c r="D94" s="1"/>
      <c r="E94" s="1"/>
      <c r="F94" s="1"/>
      <c r="G94" s="1"/>
      <c r="H94" s="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</row>
    <row r="95" spans="1:66" ht="15.75" x14ac:dyDescent="0.25">
      <c r="A95" s="1"/>
      <c r="B95" s="1"/>
      <c r="C95" s="1"/>
      <c r="D95" s="1"/>
      <c r="E95" s="1"/>
      <c r="F95" s="1"/>
      <c r="G95" s="1"/>
      <c r="H95" s="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</row>
    <row r="96" spans="1:66" ht="15.75" x14ac:dyDescent="0.25">
      <c r="A96" s="1"/>
      <c r="B96" s="1"/>
      <c r="C96" s="1"/>
      <c r="D96" s="1"/>
      <c r="E96" s="1"/>
      <c r="F96" s="1"/>
      <c r="G96" s="1"/>
      <c r="H96" s="1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</row>
    <row r="97" spans="1:66" ht="15.75" x14ac:dyDescent="0.25">
      <c r="A97" s="1"/>
      <c r="B97" s="1"/>
      <c r="C97" s="1"/>
      <c r="D97" s="1"/>
      <c r="E97" s="1"/>
      <c r="F97" s="1"/>
      <c r="G97" s="1"/>
      <c r="H97" s="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</row>
    <row r="98" spans="1:66" ht="15.75" x14ac:dyDescent="0.25">
      <c r="A98" s="1"/>
      <c r="B98" s="1"/>
      <c r="C98" s="1"/>
      <c r="D98" s="1"/>
      <c r="E98" s="1"/>
      <c r="F98" s="1"/>
      <c r="G98" s="1"/>
      <c r="H98" s="1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</row>
    <row r="99" spans="1:66" ht="15.75" x14ac:dyDescent="0.25">
      <c r="A99" s="1"/>
      <c r="B99" s="1"/>
      <c r="C99" s="1"/>
      <c r="D99" s="1"/>
      <c r="E99" s="1"/>
      <c r="F99" s="1"/>
      <c r="G99" s="1"/>
      <c r="H99" s="1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</row>
    <row r="100" spans="1:66" ht="15.75" x14ac:dyDescent="0.25">
      <c r="A100" s="1"/>
      <c r="B100" s="1"/>
      <c r="C100" s="1"/>
      <c r="D100" s="1"/>
      <c r="E100" s="1"/>
      <c r="F100" s="1"/>
      <c r="G100" s="1"/>
      <c r="H100" s="1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</row>
    <row r="101" spans="1:66" ht="15.75" x14ac:dyDescent="0.25">
      <c r="A101" s="1"/>
      <c r="B101" s="1"/>
      <c r="C101" s="1"/>
      <c r="D101" s="1"/>
      <c r="E101" s="1"/>
      <c r="F101" s="1"/>
      <c r="G101" s="1"/>
      <c r="H101" s="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</row>
    <row r="102" spans="1:66" ht="15.75" x14ac:dyDescent="0.25">
      <c r="A102" s="1"/>
      <c r="B102" s="1"/>
      <c r="C102" s="1"/>
      <c r="D102" s="1"/>
      <c r="E102" s="1"/>
      <c r="F102" s="1"/>
      <c r="G102" s="1"/>
      <c r="H102" s="1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</row>
    <row r="103" spans="1:66" ht="15.75" x14ac:dyDescent="0.25">
      <c r="A103" s="1"/>
      <c r="B103" s="1"/>
      <c r="C103" s="1"/>
      <c r="D103" s="1"/>
      <c r="E103" s="1"/>
      <c r="F103" s="1"/>
      <c r="G103" s="1"/>
      <c r="H103" s="1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</row>
    <row r="104" spans="1:66" ht="15.75" x14ac:dyDescent="0.25">
      <c r="A104" s="1"/>
      <c r="B104" s="1"/>
      <c r="C104" s="1"/>
      <c r="D104" s="1"/>
      <c r="E104" s="1"/>
      <c r="F104" s="1"/>
      <c r="G104" s="1"/>
      <c r="H104" s="1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</row>
    <row r="105" spans="1:66" ht="15.75" x14ac:dyDescent="0.25">
      <c r="A105" s="1"/>
      <c r="B105" s="1"/>
      <c r="C105" s="1"/>
      <c r="D105" s="1"/>
      <c r="E105" s="1"/>
      <c r="F105" s="1"/>
      <c r="G105" s="1"/>
      <c r="H105" s="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</row>
    <row r="106" spans="1:66" ht="15.75" x14ac:dyDescent="0.25">
      <c r="A106" s="1"/>
      <c r="B106" s="1"/>
      <c r="C106" s="1"/>
      <c r="D106" s="1"/>
      <c r="E106" s="1"/>
      <c r="F106" s="1"/>
      <c r="G106" s="1"/>
      <c r="H106" s="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</row>
    <row r="107" spans="1:66" ht="15.75" x14ac:dyDescent="0.25">
      <c r="A107" s="1"/>
      <c r="B107" s="1"/>
      <c r="C107" s="1"/>
      <c r="D107" s="1"/>
      <c r="E107" s="1"/>
      <c r="F107" s="1"/>
      <c r="G107" s="1"/>
      <c r="H107" s="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</row>
    <row r="108" spans="1:66" ht="15.75" x14ac:dyDescent="0.25">
      <c r="A108" s="1"/>
      <c r="B108" s="1"/>
      <c r="C108" s="1"/>
      <c r="D108" s="1"/>
      <c r="E108" s="1"/>
      <c r="F108" s="1"/>
      <c r="G108" s="1"/>
      <c r="H108" s="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</row>
    <row r="109" spans="1:66" ht="15.75" x14ac:dyDescent="0.25">
      <c r="A109" s="1"/>
      <c r="B109" s="1"/>
      <c r="C109" s="1"/>
      <c r="D109" s="1"/>
      <c r="E109" s="1"/>
      <c r="F109" s="1"/>
      <c r="G109" s="1"/>
      <c r="H109" s="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</row>
    <row r="110" spans="1:66" ht="15.75" x14ac:dyDescent="0.25">
      <c r="A110" s="1"/>
      <c r="B110" s="1"/>
      <c r="C110" s="1"/>
      <c r="D110" s="1"/>
      <c r="E110" s="1"/>
      <c r="F110" s="1"/>
      <c r="G110" s="1"/>
      <c r="H110" s="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</row>
    <row r="111" spans="1:66" ht="15.75" x14ac:dyDescent="0.25">
      <c r="A111" s="1"/>
      <c r="B111" s="1"/>
      <c r="C111" s="1"/>
      <c r="D111" s="1"/>
      <c r="E111" s="1"/>
      <c r="F111" s="1"/>
      <c r="G111" s="1"/>
      <c r="H111" s="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</row>
    <row r="112" spans="1:66" ht="15.75" x14ac:dyDescent="0.25">
      <c r="A112" s="1"/>
      <c r="B112" s="1"/>
      <c r="C112" s="1"/>
      <c r="D112" s="1"/>
      <c r="E112" s="1"/>
      <c r="F112" s="1"/>
      <c r="G112" s="1"/>
      <c r="H112" s="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</row>
    <row r="113" spans="1:66" ht="15.75" x14ac:dyDescent="0.25">
      <c r="A113" s="1"/>
      <c r="B113" s="1"/>
      <c r="C113" s="1"/>
      <c r="D113" s="1"/>
      <c r="E113" s="1"/>
      <c r="F113" s="1"/>
      <c r="G113" s="1"/>
      <c r="H113" s="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</row>
    <row r="114" spans="1:66" ht="15.75" x14ac:dyDescent="0.25">
      <c r="A114" s="1"/>
      <c r="B114" s="1"/>
      <c r="C114" s="1"/>
      <c r="D114" s="1"/>
      <c r="E114" s="1"/>
      <c r="F114" s="1"/>
      <c r="G114" s="1"/>
      <c r="H114" s="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</row>
    <row r="115" spans="1:66" ht="15.75" x14ac:dyDescent="0.25">
      <c r="A115" s="1"/>
      <c r="B115" s="1"/>
      <c r="C115" s="1"/>
      <c r="D115" s="1"/>
      <c r="E115" s="1"/>
      <c r="F115" s="1"/>
      <c r="G115" s="1"/>
      <c r="H115" s="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</row>
    <row r="116" spans="1:66" ht="15.75" x14ac:dyDescent="0.25">
      <c r="A116" s="1"/>
      <c r="B116" s="1"/>
      <c r="C116" s="1"/>
      <c r="D116" s="1"/>
      <c r="E116" s="1"/>
      <c r="F116" s="1"/>
      <c r="G116" s="1"/>
      <c r="H116" s="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</row>
    <row r="117" spans="1:66" ht="15.75" x14ac:dyDescent="0.25">
      <c r="A117" s="1"/>
      <c r="B117" s="1"/>
      <c r="C117" s="1"/>
      <c r="D117" s="1"/>
      <c r="E117" s="1"/>
      <c r="F117" s="1"/>
      <c r="G117" s="1"/>
      <c r="H117" s="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</row>
    <row r="118" spans="1:66" ht="15.75" x14ac:dyDescent="0.25">
      <c r="A118" s="1"/>
      <c r="B118" s="1"/>
      <c r="C118" s="1"/>
      <c r="D118" s="1"/>
      <c r="E118" s="1"/>
      <c r="F118" s="1"/>
      <c r="G118" s="1"/>
      <c r="H118" s="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</row>
    <row r="119" spans="1:66" ht="15.75" x14ac:dyDescent="0.25">
      <c r="A119" s="1"/>
      <c r="B119" s="1"/>
      <c r="C119" s="1"/>
      <c r="D119" s="1"/>
      <c r="E119" s="1"/>
      <c r="F119" s="1"/>
      <c r="G119" s="1"/>
      <c r="H119" s="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</row>
    <row r="120" spans="1:66" ht="15.75" x14ac:dyDescent="0.25">
      <c r="A120" s="1"/>
      <c r="B120" s="1"/>
      <c r="C120" s="1"/>
      <c r="D120" s="1"/>
      <c r="E120" s="1"/>
      <c r="F120" s="1"/>
      <c r="G120" s="1"/>
      <c r="H120" s="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</row>
    <row r="121" spans="1:66" ht="15.75" x14ac:dyDescent="0.25">
      <c r="A121" s="1"/>
      <c r="B121" s="1"/>
      <c r="C121" s="1"/>
      <c r="D121" s="1"/>
      <c r="E121" s="1"/>
      <c r="F121" s="1"/>
      <c r="G121" s="1"/>
      <c r="H121" s="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</row>
    <row r="122" spans="1:66" ht="15.75" x14ac:dyDescent="0.25">
      <c r="A122" s="1"/>
      <c r="B122" s="1"/>
      <c r="C122" s="1"/>
      <c r="D122" s="1"/>
      <c r="E122" s="1"/>
      <c r="F122" s="1"/>
      <c r="G122" s="1"/>
      <c r="H122" s="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</row>
    <row r="123" spans="1:66" ht="15.75" x14ac:dyDescent="0.25">
      <c r="A123" s="1"/>
      <c r="B123" s="1"/>
      <c r="C123" s="1"/>
      <c r="D123" s="1"/>
      <c r="E123" s="1"/>
      <c r="F123" s="1"/>
      <c r="G123" s="1"/>
      <c r="H123" s="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</row>
    <row r="124" spans="1:66" ht="15.75" x14ac:dyDescent="0.25"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</row>
    <row r="125" spans="1:66" ht="15.75" x14ac:dyDescent="0.25"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</row>
    <row r="126" spans="1:66" ht="15.75" x14ac:dyDescent="0.25"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</row>
    <row r="127" spans="1:66" ht="15.75" x14ac:dyDescent="0.25"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</row>
    <row r="128" spans="1:66" ht="15.75" x14ac:dyDescent="0.25"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</row>
    <row r="129" spans="9:66" ht="15.75" x14ac:dyDescent="0.25"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</row>
    <row r="130" spans="9:66" ht="15.75" x14ac:dyDescent="0.25"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</row>
    <row r="131" spans="9:66" ht="15.75" x14ac:dyDescent="0.25"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</row>
    <row r="132" spans="9:66" ht="15.75" x14ac:dyDescent="0.25"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</row>
    <row r="133" spans="9:66" ht="15.75" x14ac:dyDescent="0.25"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</row>
    <row r="134" spans="9:66" ht="15.75" x14ac:dyDescent="0.25"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</row>
    <row r="135" spans="9:66" ht="15.75" x14ac:dyDescent="0.25"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</row>
    <row r="136" spans="9:66" ht="15.75" x14ac:dyDescent="0.25"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</row>
    <row r="137" spans="9:66" ht="15.75" x14ac:dyDescent="0.25"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</row>
    <row r="138" spans="9:66" ht="15.75" x14ac:dyDescent="0.25"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</row>
    <row r="139" spans="9:66" ht="15.75" x14ac:dyDescent="0.25"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</row>
    <row r="140" spans="9:66" ht="15.75" x14ac:dyDescent="0.25"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</row>
    <row r="141" spans="9:66" ht="15.75" x14ac:dyDescent="0.25"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</row>
    <row r="142" spans="9:66" ht="15.75" x14ac:dyDescent="0.25"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</row>
    <row r="143" spans="9:66" ht="15.75" x14ac:dyDescent="0.25"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</row>
    <row r="144" spans="9:66" ht="15.75" x14ac:dyDescent="0.25"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</row>
    <row r="145" spans="9:66" ht="15.75" x14ac:dyDescent="0.25"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</row>
    <row r="146" spans="9:66" ht="15.75" x14ac:dyDescent="0.25"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</row>
    <row r="147" spans="9:66" ht="15.75" x14ac:dyDescent="0.25"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</row>
    <row r="148" spans="9:66" ht="15.75" x14ac:dyDescent="0.25"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</row>
    <row r="149" spans="9:66" ht="15.75" x14ac:dyDescent="0.25"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</row>
    <row r="150" spans="9:66" ht="15.75" x14ac:dyDescent="0.25"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</row>
    <row r="151" spans="9:66" ht="15.75" x14ac:dyDescent="0.25"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</row>
    <row r="152" spans="9:66" ht="15.75" x14ac:dyDescent="0.25"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</row>
    <row r="153" spans="9:66" ht="15.75" x14ac:dyDescent="0.25"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</row>
    <row r="154" spans="9:66" ht="15.75" x14ac:dyDescent="0.25"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</row>
    <row r="155" spans="9:66" ht="15.75" x14ac:dyDescent="0.25"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</row>
    <row r="156" spans="9:66" ht="15.75" x14ac:dyDescent="0.25"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</row>
    <row r="157" spans="9:66" ht="15.75" x14ac:dyDescent="0.25"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</row>
    <row r="158" spans="9:66" ht="15.75" x14ac:dyDescent="0.25"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</row>
    <row r="159" spans="9:66" ht="15.75" x14ac:dyDescent="0.25"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</row>
    <row r="160" spans="9:66" ht="15.75" x14ac:dyDescent="0.25"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</row>
    <row r="161" spans="1:66" ht="15.75" x14ac:dyDescent="0.25"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</row>
    <row r="162" spans="1:66" ht="15.75" x14ac:dyDescent="0.25"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</row>
    <row r="163" spans="1:66" ht="15.75" x14ac:dyDescent="0.25"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</row>
    <row r="164" spans="1:66" ht="15.75" x14ac:dyDescent="0.25"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</row>
    <row r="165" spans="1:66" ht="15.75" x14ac:dyDescent="0.25"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</row>
    <row r="166" spans="1:66" ht="15.75" x14ac:dyDescent="0.25"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</row>
    <row r="167" spans="1:66" ht="15.75" x14ac:dyDescent="0.25"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</row>
    <row r="168" spans="1:66" ht="15.75" x14ac:dyDescent="0.25"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</row>
    <row r="169" spans="1:66" ht="15.75" x14ac:dyDescent="0.25"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</row>
    <row r="170" spans="1:66" ht="15.75" x14ac:dyDescent="0.25"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</row>
    <row r="171" spans="1:66" ht="15.75" x14ac:dyDescent="0.25"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</row>
    <row r="172" spans="1:66" ht="15.75" x14ac:dyDescent="0.25"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</row>
    <row r="173" spans="1:66" ht="15.75" x14ac:dyDescent="0.25"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</row>
    <row r="174" spans="1:66" ht="15.75" x14ac:dyDescent="0.25"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</row>
    <row r="175" spans="1:66" ht="15.75" x14ac:dyDescent="0.25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</row>
    <row r="176" spans="1:66" ht="15.75" x14ac:dyDescent="0.25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</row>
    <row r="177" spans="1:66" ht="15.75" x14ac:dyDescent="0.25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</row>
    <row r="178" spans="1:66" ht="15.75" x14ac:dyDescent="0.25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</row>
    <row r="179" spans="1:66" ht="15.75" x14ac:dyDescent="0.25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</row>
    <row r="180" spans="1:66" ht="15.75" x14ac:dyDescent="0.25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</row>
    <row r="181" spans="1:66" ht="15.75" x14ac:dyDescent="0.25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</row>
    <row r="182" spans="1:66" ht="15.75" x14ac:dyDescent="0.25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</row>
    <row r="183" spans="1:66" ht="15.75" x14ac:dyDescent="0.25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</row>
    <row r="184" spans="1:66" ht="15.75" x14ac:dyDescent="0.25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</row>
    <row r="185" spans="1:66" ht="15.75" x14ac:dyDescent="0.25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</row>
    <row r="186" spans="1:66" ht="15.75" x14ac:dyDescent="0.25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</row>
    <row r="187" spans="1:66" ht="15.75" x14ac:dyDescent="0.25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</row>
    <row r="188" spans="1:66" ht="15.75" x14ac:dyDescent="0.25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</row>
    <row r="189" spans="1:66" ht="15.75" x14ac:dyDescent="0.25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</row>
    <row r="190" spans="1:66" ht="15.75" x14ac:dyDescent="0.25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</row>
    <row r="191" spans="1:66" ht="15.75" x14ac:dyDescent="0.25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</row>
    <row r="192" spans="1:66" ht="15.75" x14ac:dyDescent="0.25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</row>
    <row r="193" spans="1:66" ht="15.75" x14ac:dyDescent="0.25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</row>
    <row r="194" spans="1:66" ht="15.75" x14ac:dyDescent="0.25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</row>
    <row r="195" spans="1:66" ht="15.75" x14ac:dyDescent="0.25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</row>
    <row r="196" spans="1:66" ht="15.75" x14ac:dyDescent="0.25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</row>
    <row r="197" spans="1:66" ht="15.75" x14ac:dyDescent="0.25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</row>
    <row r="198" spans="1:66" ht="15.75" x14ac:dyDescent="0.25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</row>
    <row r="199" spans="1:66" ht="15.75" x14ac:dyDescent="0.25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</row>
    <row r="200" spans="1:66" ht="15.75" x14ac:dyDescent="0.25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</row>
    <row r="201" spans="1:66" ht="15.75" x14ac:dyDescent="0.25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</row>
    <row r="202" spans="1:66" ht="15.75" x14ac:dyDescent="0.25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</row>
    <row r="203" spans="1:66" ht="15.75" x14ac:dyDescent="0.25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</row>
    <row r="204" spans="1:66" ht="15.75" x14ac:dyDescent="0.25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</row>
    <row r="205" spans="1:66" ht="15.75" x14ac:dyDescent="0.25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</row>
    <row r="206" spans="1:66" ht="15.75" x14ac:dyDescent="0.25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</row>
    <row r="207" spans="1:66" ht="15.75" x14ac:dyDescent="0.25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</row>
    <row r="208" spans="1:66" ht="15.75" x14ac:dyDescent="0.25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</row>
    <row r="209" spans="1:66" ht="15.75" x14ac:dyDescent="0.25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</row>
    <row r="210" spans="1:66" ht="15.75" x14ac:dyDescent="0.25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</row>
    <row r="211" spans="1:66" ht="15.75" x14ac:dyDescent="0.25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</row>
    <row r="212" spans="1:66" ht="15.75" x14ac:dyDescent="0.25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</row>
    <row r="213" spans="1:66" ht="15.75" x14ac:dyDescent="0.25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</row>
    <row r="214" spans="1:66" ht="15.75" x14ac:dyDescent="0.25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</row>
    <row r="215" spans="1:66" ht="15.75" x14ac:dyDescent="0.25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</row>
    <row r="216" spans="1:66" ht="15.75" x14ac:dyDescent="0.25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</row>
    <row r="217" spans="1:66" ht="15.75" x14ac:dyDescent="0.25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</row>
    <row r="218" spans="1:66" ht="15.75" x14ac:dyDescent="0.25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</row>
    <row r="219" spans="1:66" ht="15.75" x14ac:dyDescent="0.25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</row>
    <row r="220" spans="1:66" ht="15.75" x14ac:dyDescent="0.25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</row>
    <row r="221" spans="1:66" ht="15.75" x14ac:dyDescent="0.25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</row>
    <row r="222" spans="1:66" ht="15.75" x14ac:dyDescent="0.25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</row>
    <row r="223" spans="1:66" ht="15.75" x14ac:dyDescent="0.25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</row>
    <row r="224" spans="1:66" ht="15.75" x14ac:dyDescent="0.25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</row>
    <row r="225" spans="1:66" ht="15.75" x14ac:dyDescent="0.25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</row>
    <row r="226" spans="1:66" ht="15.75" x14ac:dyDescent="0.25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</row>
    <row r="227" spans="1:66" ht="15.75" x14ac:dyDescent="0.25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</row>
    <row r="228" spans="1:66" ht="15.75" x14ac:dyDescent="0.25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</row>
    <row r="229" spans="1:66" ht="15.75" x14ac:dyDescent="0.25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</row>
    <row r="230" spans="1:66" ht="15.75" x14ac:dyDescent="0.25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</row>
    <row r="231" spans="1:66" ht="15.75" x14ac:dyDescent="0.25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</row>
    <row r="232" spans="1:66" ht="15.75" x14ac:dyDescent="0.25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</row>
    <row r="233" spans="1:66" ht="15.75" x14ac:dyDescent="0.25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</row>
    <row r="234" spans="1:66" ht="15.75" x14ac:dyDescent="0.25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</row>
    <row r="235" spans="1:66" ht="15.75" x14ac:dyDescent="0.2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</row>
    <row r="236" spans="1:66" ht="15.75" x14ac:dyDescent="0.2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</row>
    <row r="237" spans="1:66" ht="15.75" x14ac:dyDescent="0.2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</row>
    <row r="238" spans="1:66" ht="15.75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</row>
    <row r="239" spans="1:66" ht="15.75" x14ac:dyDescent="0.2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</row>
    <row r="240" spans="1:66" ht="15.75" x14ac:dyDescent="0.2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</row>
    <row r="241" spans="1:66" ht="15.75" x14ac:dyDescent="0.2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</row>
    <row r="242" spans="1:66" ht="15.75" x14ac:dyDescent="0.2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</row>
    <row r="243" spans="1:66" ht="15.75" x14ac:dyDescent="0.2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</row>
    <row r="244" spans="1:66" ht="15.75" x14ac:dyDescent="0.2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</row>
    <row r="245" spans="1:66" ht="15.75" x14ac:dyDescent="0.2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</row>
    <row r="246" spans="1:66" ht="15.75" x14ac:dyDescent="0.2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</row>
    <row r="247" spans="1:66" ht="15.75" x14ac:dyDescent="0.25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</row>
    <row r="248" spans="1:66" ht="15.75" x14ac:dyDescent="0.25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</row>
    <row r="249" spans="1:66" ht="15.75" x14ac:dyDescent="0.25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</row>
    <row r="250" spans="1:66" ht="15.75" x14ac:dyDescent="0.25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</row>
    <row r="251" spans="1:66" ht="15.75" x14ac:dyDescent="0.25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</row>
    <row r="252" spans="1:66" ht="15.75" x14ac:dyDescent="0.25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</row>
    <row r="253" spans="1:66" ht="15.75" x14ac:dyDescent="0.2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</row>
    <row r="254" spans="1:66" ht="15.75" x14ac:dyDescent="0.2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</row>
    <row r="255" spans="1:66" ht="15.75" x14ac:dyDescent="0.2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</row>
    <row r="256" spans="1:66" ht="15.75" x14ac:dyDescent="0.2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</row>
    <row r="257" spans="1:66" ht="15.75" x14ac:dyDescent="0.2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</row>
    <row r="258" spans="1:66" ht="15.75" x14ac:dyDescent="0.2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</row>
    <row r="259" spans="1:66" ht="15.75" x14ac:dyDescent="0.2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</row>
    <row r="260" spans="1:66" ht="15.75" x14ac:dyDescent="0.2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</row>
    <row r="261" spans="1:66" ht="15.75" x14ac:dyDescent="0.2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</row>
    <row r="262" spans="1:66" ht="15.75" x14ac:dyDescent="0.2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</row>
    <row r="263" spans="1:66" ht="15.75" x14ac:dyDescent="0.2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</row>
    <row r="264" spans="1:66" ht="15.75" x14ac:dyDescent="0.2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</row>
    <row r="265" spans="1:66" ht="15.75" x14ac:dyDescent="0.2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</row>
    <row r="266" spans="1:66" ht="15.75" x14ac:dyDescent="0.2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</row>
    <row r="267" spans="1:66" ht="15.75" x14ac:dyDescent="0.2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</row>
    <row r="268" spans="1:66" ht="15.75" x14ac:dyDescent="0.2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</row>
    <row r="269" spans="1:66" ht="15.75" x14ac:dyDescent="0.2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</row>
    <row r="270" spans="1:66" ht="15.75" x14ac:dyDescent="0.2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</row>
    <row r="271" spans="1:66" ht="15.75" x14ac:dyDescent="0.2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</row>
    <row r="272" spans="1:66" ht="15.75" x14ac:dyDescent="0.2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</row>
    <row r="273" spans="1:66" ht="15.75" x14ac:dyDescent="0.2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</row>
    <row r="274" spans="1:66" ht="15.75" x14ac:dyDescent="0.2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</row>
    <row r="275" spans="1:66" ht="15.75" x14ac:dyDescent="0.2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</row>
    <row r="276" spans="1:66" ht="15.75" x14ac:dyDescent="0.2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</row>
    <row r="277" spans="1:66" ht="15.75" x14ac:dyDescent="0.2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</row>
    <row r="278" spans="1:66" ht="15.75" x14ac:dyDescent="0.2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</row>
    <row r="279" spans="1:66" ht="15.75" x14ac:dyDescent="0.2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</row>
    <row r="280" spans="1:66" ht="15.75" x14ac:dyDescent="0.2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</row>
    <row r="281" spans="1:66" ht="15.75" x14ac:dyDescent="0.2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</row>
    <row r="282" spans="1:66" ht="15.75" x14ac:dyDescent="0.2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  <c r="AU282" s="22"/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</row>
    <row r="283" spans="1:66" ht="15.75" x14ac:dyDescent="0.2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  <c r="AS283" s="22"/>
      <c r="AT283" s="22"/>
      <c r="AU283" s="22"/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</row>
    <row r="284" spans="1:66" ht="15.75" x14ac:dyDescent="0.2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2"/>
      <c r="AR284" s="22"/>
      <c r="AS284" s="22"/>
      <c r="AT284" s="22"/>
      <c r="AU284" s="22"/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</row>
    <row r="285" spans="1:66" ht="15.75" x14ac:dyDescent="0.2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  <c r="AU285" s="22"/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</row>
    <row r="286" spans="1:66" ht="15.75" x14ac:dyDescent="0.2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</row>
    <row r="287" spans="1:66" ht="15.75" x14ac:dyDescent="0.2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  <c r="AU287" s="22"/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</row>
    <row r="288" spans="1:66" ht="15.75" x14ac:dyDescent="0.2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  <c r="AS288" s="22"/>
      <c r="AT288" s="22"/>
      <c r="AU288" s="22"/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</row>
    <row r="289" spans="1:66" ht="15.75" x14ac:dyDescent="0.2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  <c r="AS289" s="22"/>
      <c r="AT289" s="22"/>
      <c r="AU289" s="22"/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</row>
    <row r="290" spans="1:66" ht="15.75" x14ac:dyDescent="0.2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  <c r="AS290" s="22"/>
      <c r="AT290" s="22"/>
      <c r="AU290" s="22"/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</row>
    <row r="291" spans="1:66" ht="15.75" x14ac:dyDescent="0.2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</row>
    <row r="292" spans="1:66" ht="15.75" x14ac:dyDescent="0.2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  <c r="AU292" s="22"/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</row>
    <row r="293" spans="1:66" ht="15.75" x14ac:dyDescent="0.2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  <c r="AS293" s="22"/>
      <c r="AT293" s="22"/>
      <c r="AU293" s="22"/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</row>
    <row r="294" spans="1:66" ht="15.75" x14ac:dyDescent="0.2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  <c r="AU294" s="22"/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</row>
    <row r="295" spans="1:66" ht="15.75" x14ac:dyDescent="0.2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  <c r="AR295" s="22"/>
      <c r="AS295" s="22"/>
      <c r="AT295" s="22"/>
      <c r="AU295" s="22"/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</row>
    <row r="296" spans="1:66" ht="15.75" x14ac:dyDescent="0.2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2"/>
      <c r="AR296" s="22"/>
      <c r="AS296" s="22"/>
      <c r="AT296" s="22"/>
      <c r="AU296" s="22"/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</row>
    <row r="297" spans="1:66" ht="15.75" x14ac:dyDescent="0.2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</row>
    <row r="298" spans="1:66" ht="15.75" x14ac:dyDescent="0.2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  <c r="AR298" s="22"/>
      <c r="AS298" s="22"/>
      <c r="AT298" s="22"/>
      <c r="AU298" s="22"/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</row>
    <row r="299" spans="1:66" ht="15.75" x14ac:dyDescent="0.2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</row>
    <row r="300" spans="1:66" ht="15.75" x14ac:dyDescent="0.2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  <c r="AR300" s="22"/>
      <c r="AS300" s="22"/>
      <c r="AT300" s="22"/>
      <c r="AU300" s="22"/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</row>
    <row r="301" spans="1:66" ht="15.75" x14ac:dyDescent="0.2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  <c r="AR301" s="22"/>
      <c r="AS301" s="22"/>
      <c r="AT301" s="22"/>
      <c r="AU301" s="22"/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</row>
    <row r="302" spans="1:66" ht="15.75" x14ac:dyDescent="0.2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</row>
    <row r="303" spans="1:66" ht="15.75" x14ac:dyDescent="0.2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2"/>
      <c r="AR303" s="22"/>
      <c r="AS303" s="22"/>
      <c r="AT303" s="22"/>
      <c r="AU303" s="22"/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</row>
    <row r="304" spans="1:66" ht="15.75" x14ac:dyDescent="0.2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</row>
    <row r="305" spans="1:66" ht="15.75" x14ac:dyDescent="0.2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2"/>
      <c r="AR305" s="22"/>
      <c r="AS305" s="22"/>
      <c r="AT305" s="22"/>
      <c r="AU305" s="22"/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</row>
    <row r="306" spans="1:66" ht="15.75" x14ac:dyDescent="0.2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2"/>
      <c r="AR306" s="22"/>
      <c r="AS306" s="22"/>
      <c r="AT306" s="22"/>
      <c r="AU306" s="22"/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</row>
    <row r="307" spans="1:66" ht="15.75" x14ac:dyDescent="0.2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2"/>
      <c r="AR307" s="22"/>
      <c r="AS307" s="22"/>
      <c r="AT307" s="22"/>
      <c r="AU307" s="22"/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</row>
    <row r="308" spans="1:66" ht="15.75" x14ac:dyDescent="0.2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  <c r="AR308" s="22"/>
      <c r="AS308" s="22"/>
      <c r="AT308" s="22"/>
      <c r="AU308" s="22"/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</row>
    <row r="309" spans="1:66" ht="15.75" x14ac:dyDescent="0.2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2"/>
      <c r="AR309" s="22"/>
      <c r="AS309" s="22"/>
      <c r="AT309" s="22"/>
      <c r="AU309" s="22"/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</row>
    <row r="310" spans="1:66" ht="15.75" x14ac:dyDescent="0.2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  <c r="AR310" s="22"/>
      <c r="AS310" s="22"/>
      <c r="AT310" s="22"/>
      <c r="AU310" s="22"/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</row>
    <row r="311" spans="1:66" ht="15.75" x14ac:dyDescent="0.2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  <c r="AR311" s="22"/>
      <c r="AS311" s="22"/>
      <c r="AT311" s="22"/>
      <c r="AU311" s="22"/>
      <c r="AV311" s="22"/>
      <c r="AW311" s="22"/>
      <c r="AX311" s="22"/>
      <c r="AY311" s="22"/>
      <c r="AZ311" s="22"/>
      <c r="BA311" s="22"/>
      <c r="BB311" s="22"/>
      <c r="BC311" s="22"/>
      <c r="BD311" s="22"/>
      <c r="BE311" s="22"/>
      <c r="BF311" s="22"/>
      <c r="BG311" s="22"/>
      <c r="BH311" s="22"/>
      <c r="BI311" s="22"/>
      <c r="BJ311" s="22"/>
      <c r="BK311" s="22"/>
      <c r="BL311" s="22"/>
      <c r="BM311" s="22"/>
      <c r="BN311" s="22"/>
    </row>
    <row r="312" spans="1:66" ht="15.75" x14ac:dyDescent="0.2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  <c r="AU312" s="22"/>
      <c r="AV312" s="22"/>
      <c r="AW312" s="22"/>
      <c r="AX312" s="22"/>
      <c r="AY312" s="22"/>
      <c r="AZ312" s="22"/>
      <c r="BA312" s="22"/>
      <c r="BB312" s="22"/>
      <c r="BC312" s="22"/>
      <c r="BD312" s="22"/>
      <c r="BE312" s="22"/>
      <c r="BF312" s="22"/>
      <c r="BG312" s="22"/>
      <c r="BH312" s="22"/>
      <c r="BI312" s="22"/>
      <c r="BJ312" s="22"/>
      <c r="BK312" s="22"/>
      <c r="BL312" s="22"/>
      <c r="BM312" s="22"/>
      <c r="BN312" s="22"/>
    </row>
    <row r="313" spans="1:66" ht="15.75" x14ac:dyDescent="0.2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  <c r="AR313" s="22"/>
      <c r="AS313" s="22"/>
      <c r="AT313" s="22"/>
      <c r="AU313" s="22"/>
      <c r="AV313" s="22"/>
      <c r="AW313" s="22"/>
      <c r="AX313" s="22"/>
      <c r="AY313" s="22"/>
      <c r="AZ313" s="22"/>
      <c r="BA313" s="22"/>
      <c r="BB313" s="22"/>
      <c r="BC313" s="22"/>
      <c r="BD313" s="22"/>
      <c r="BE313" s="22"/>
      <c r="BF313" s="22"/>
      <c r="BG313" s="22"/>
      <c r="BH313" s="22"/>
      <c r="BI313" s="22"/>
      <c r="BJ313" s="22"/>
      <c r="BK313" s="22"/>
      <c r="BL313" s="22"/>
      <c r="BM313" s="22"/>
      <c r="BN313" s="22"/>
    </row>
    <row r="314" spans="1:66" ht="15.75" x14ac:dyDescent="0.2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2"/>
      <c r="AR314" s="22"/>
      <c r="AS314" s="22"/>
      <c r="AT314" s="22"/>
      <c r="AU314" s="22"/>
      <c r="AV314" s="22"/>
      <c r="AW314" s="22"/>
      <c r="AX314" s="22"/>
      <c r="AY314" s="22"/>
      <c r="AZ314" s="22"/>
      <c r="BA314" s="22"/>
      <c r="BB314" s="22"/>
      <c r="BC314" s="22"/>
      <c r="BD314" s="22"/>
      <c r="BE314" s="22"/>
      <c r="BF314" s="22"/>
      <c r="BG314" s="22"/>
      <c r="BH314" s="22"/>
      <c r="BI314" s="22"/>
      <c r="BJ314" s="22"/>
      <c r="BK314" s="22"/>
      <c r="BL314" s="22"/>
      <c r="BM314" s="22"/>
      <c r="BN314" s="22"/>
    </row>
    <row r="315" spans="1:66" ht="15.75" x14ac:dyDescent="0.2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2"/>
      <c r="AR315" s="22"/>
      <c r="AS315" s="22"/>
      <c r="AT315" s="22"/>
      <c r="AU315" s="22"/>
      <c r="AV315" s="22"/>
      <c r="AW315" s="22"/>
      <c r="AX315" s="22"/>
      <c r="AY315" s="22"/>
      <c r="AZ315" s="22"/>
      <c r="BA315" s="22"/>
      <c r="BB315" s="22"/>
      <c r="BC315" s="22"/>
      <c r="BD315" s="22"/>
      <c r="BE315" s="22"/>
      <c r="BF315" s="22"/>
      <c r="BG315" s="22"/>
      <c r="BH315" s="22"/>
      <c r="BI315" s="22"/>
      <c r="BJ315" s="22"/>
      <c r="BK315" s="22"/>
      <c r="BL315" s="22"/>
      <c r="BM315" s="22"/>
      <c r="BN315" s="22"/>
    </row>
    <row r="316" spans="1:66" ht="15.75" x14ac:dyDescent="0.2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2"/>
      <c r="AR316" s="22"/>
      <c r="AS316" s="22"/>
      <c r="AT316" s="22"/>
      <c r="AU316" s="22"/>
      <c r="AV316" s="22"/>
      <c r="AW316" s="22"/>
      <c r="AX316" s="22"/>
      <c r="AY316" s="22"/>
      <c r="AZ316" s="22"/>
      <c r="BA316" s="22"/>
      <c r="BB316" s="22"/>
      <c r="BC316" s="22"/>
      <c r="BD316" s="22"/>
      <c r="BE316" s="22"/>
      <c r="BF316" s="22"/>
      <c r="BG316" s="22"/>
      <c r="BH316" s="22"/>
      <c r="BI316" s="22"/>
      <c r="BJ316" s="22"/>
      <c r="BK316" s="22"/>
      <c r="BL316" s="22"/>
      <c r="BM316" s="22"/>
      <c r="BN316" s="22"/>
    </row>
    <row r="317" spans="1:66" ht="15.75" x14ac:dyDescent="0.2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  <c r="AR317" s="22"/>
      <c r="AS317" s="22"/>
      <c r="AT317" s="22"/>
      <c r="AU317" s="22"/>
      <c r="AV317" s="22"/>
      <c r="AW317" s="22"/>
      <c r="AX317" s="22"/>
      <c r="AY317" s="22"/>
      <c r="AZ317" s="22"/>
      <c r="BA317" s="22"/>
      <c r="BB317" s="22"/>
      <c r="BC317" s="22"/>
      <c r="BD317" s="22"/>
      <c r="BE317" s="22"/>
      <c r="BF317" s="22"/>
      <c r="BG317" s="22"/>
      <c r="BH317" s="22"/>
      <c r="BI317" s="22"/>
      <c r="BJ317" s="22"/>
      <c r="BK317" s="22"/>
      <c r="BL317" s="22"/>
      <c r="BM317" s="22"/>
      <c r="BN317" s="22"/>
    </row>
    <row r="318" spans="1:66" ht="15.75" x14ac:dyDescent="0.2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22"/>
      <c r="AV318" s="22"/>
      <c r="AW318" s="22"/>
      <c r="AX318" s="22"/>
      <c r="AY318" s="22"/>
      <c r="AZ318" s="22"/>
      <c r="BA318" s="22"/>
      <c r="BB318" s="22"/>
      <c r="BC318" s="22"/>
      <c r="BD318" s="22"/>
      <c r="BE318" s="22"/>
      <c r="BF318" s="22"/>
      <c r="BG318" s="22"/>
      <c r="BH318" s="22"/>
      <c r="BI318" s="22"/>
      <c r="BJ318" s="22"/>
      <c r="BK318" s="22"/>
      <c r="BL318" s="22"/>
      <c r="BM318" s="22"/>
      <c r="BN318" s="22"/>
    </row>
    <row r="319" spans="1:66" ht="15.75" x14ac:dyDescent="0.2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  <c r="AU319" s="22"/>
      <c r="AV319" s="22"/>
      <c r="AW319" s="22"/>
      <c r="AX319" s="22"/>
      <c r="AY319" s="22"/>
      <c r="AZ319" s="22"/>
      <c r="BA319" s="22"/>
      <c r="BB319" s="22"/>
      <c r="BC319" s="22"/>
      <c r="BD319" s="22"/>
      <c r="BE319" s="22"/>
      <c r="BF319" s="22"/>
      <c r="BG319" s="22"/>
      <c r="BH319" s="22"/>
      <c r="BI319" s="22"/>
      <c r="BJ319" s="22"/>
      <c r="BK319" s="22"/>
      <c r="BL319" s="22"/>
      <c r="BM319" s="22"/>
      <c r="BN319" s="22"/>
    </row>
    <row r="320" spans="1:66" ht="15.75" x14ac:dyDescent="0.2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  <c r="AU320" s="22"/>
      <c r="AV320" s="22"/>
      <c r="AW320" s="22"/>
      <c r="AX320" s="22"/>
      <c r="AY320" s="22"/>
      <c r="AZ320" s="22"/>
      <c r="BA320" s="22"/>
      <c r="BB320" s="22"/>
      <c r="BC320" s="22"/>
      <c r="BD320" s="22"/>
      <c r="BE320" s="22"/>
      <c r="BF320" s="22"/>
      <c r="BG320" s="22"/>
      <c r="BH320" s="22"/>
      <c r="BI320" s="22"/>
      <c r="BJ320" s="22"/>
      <c r="BK320" s="22"/>
      <c r="BL320" s="22"/>
      <c r="BM320" s="22"/>
      <c r="BN320" s="22"/>
    </row>
    <row r="321" spans="1:66" ht="15.75" x14ac:dyDescent="0.2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</row>
    <row r="322" spans="1:66" ht="15.75" x14ac:dyDescent="0.2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W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M322" s="22"/>
      <c r="BN322" s="22"/>
    </row>
    <row r="323" spans="1:66" ht="15.75" x14ac:dyDescent="0.2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  <c r="AR323" s="22"/>
      <c r="AS323" s="22"/>
      <c r="AT323" s="22"/>
      <c r="AU323" s="22"/>
      <c r="AV323" s="22"/>
      <c r="AW323" s="22"/>
      <c r="AX323" s="22"/>
      <c r="AY323" s="22"/>
      <c r="AZ323" s="22"/>
      <c r="BA323" s="22"/>
      <c r="BB323" s="22"/>
      <c r="BC323" s="22"/>
      <c r="BD323" s="22"/>
      <c r="BE323" s="22"/>
      <c r="BF323" s="22"/>
      <c r="BG323" s="22"/>
      <c r="BH323" s="22"/>
      <c r="BI323" s="22"/>
      <c r="BJ323" s="22"/>
      <c r="BK323" s="22"/>
      <c r="BL323" s="22"/>
      <c r="BM323" s="22"/>
      <c r="BN323" s="22"/>
    </row>
    <row r="324" spans="1:66" ht="15.75" x14ac:dyDescent="0.2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  <c r="AR324" s="22"/>
      <c r="AS324" s="22"/>
      <c r="AT324" s="22"/>
      <c r="AU324" s="22"/>
      <c r="AV324" s="22"/>
      <c r="AW324" s="22"/>
      <c r="AX324" s="22"/>
      <c r="AY324" s="22"/>
      <c r="AZ324" s="22"/>
      <c r="BA324" s="22"/>
      <c r="BB324" s="22"/>
      <c r="BC324" s="22"/>
      <c r="BD324" s="22"/>
      <c r="BE324" s="22"/>
      <c r="BF324" s="22"/>
      <c r="BG324" s="22"/>
      <c r="BH324" s="22"/>
      <c r="BI324" s="22"/>
      <c r="BJ324" s="22"/>
      <c r="BK324" s="22"/>
      <c r="BL324" s="22"/>
      <c r="BM324" s="22"/>
      <c r="BN324" s="22"/>
    </row>
    <row r="325" spans="1:66" ht="15.75" x14ac:dyDescent="0.2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  <c r="AR325" s="22"/>
      <c r="AS325" s="22"/>
      <c r="AT325" s="22"/>
      <c r="AU325" s="22"/>
      <c r="AV325" s="22"/>
      <c r="AW325" s="22"/>
      <c r="AX325" s="22"/>
      <c r="AY325" s="22"/>
      <c r="AZ325" s="22"/>
      <c r="BA325" s="22"/>
      <c r="BB325" s="22"/>
      <c r="BC325" s="22"/>
      <c r="BD325" s="22"/>
      <c r="BE325" s="22"/>
      <c r="BF325" s="22"/>
      <c r="BG325" s="22"/>
      <c r="BH325" s="22"/>
      <c r="BI325" s="22"/>
      <c r="BJ325" s="22"/>
      <c r="BK325" s="22"/>
      <c r="BL325" s="22"/>
      <c r="BM325" s="22"/>
      <c r="BN325" s="22"/>
    </row>
    <row r="326" spans="1:66" ht="15.75" x14ac:dyDescent="0.2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  <c r="AR326" s="22"/>
      <c r="AS326" s="22"/>
      <c r="AT326" s="22"/>
      <c r="AU326" s="22"/>
      <c r="AV326" s="22"/>
      <c r="AW326" s="22"/>
      <c r="AX326" s="22"/>
      <c r="AY326" s="22"/>
      <c r="AZ326" s="22"/>
      <c r="BA326" s="22"/>
      <c r="BB326" s="22"/>
      <c r="BC326" s="22"/>
      <c r="BD326" s="22"/>
      <c r="BE326" s="22"/>
      <c r="BF326" s="22"/>
      <c r="BG326" s="22"/>
      <c r="BH326" s="22"/>
      <c r="BI326" s="22"/>
      <c r="BJ326" s="22"/>
      <c r="BK326" s="22"/>
      <c r="BL326" s="22"/>
      <c r="BM326" s="22"/>
      <c r="BN326" s="22"/>
    </row>
    <row r="327" spans="1:66" ht="15.75" x14ac:dyDescent="0.2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2"/>
      <c r="AR327" s="22"/>
      <c r="AS327" s="22"/>
      <c r="AT327" s="22"/>
      <c r="AU327" s="22"/>
      <c r="AV327" s="22"/>
      <c r="AW327" s="22"/>
      <c r="AX327" s="22"/>
      <c r="AY327" s="22"/>
      <c r="AZ327" s="22"/>
      <c r="BA327" s="22"/>
      <c r="BB327" s="22"/>
      <c r="BC327" s="22"/>
      <c r="BD327" s="22"/>
      <c r="BE327" s="22"/>
      <c r="BF327" s="22"/>
      <c r="BG327" s="22"/>
      <c r="BH327" s="22"/>
      <c r="BI327" s="22"/>
      <c r="BJ327" s="22"/>
      <c r="BK327" s="22"/>
      <c r="BL327" s="22"/>
      <c r="BM327" s="22"/>
      <c r="BN327" s="22"/>
    </row>
    <row r="328" spans="1:66" ht="15.75" x14ac:dyDescent="0.2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2"/>
      <c r="AR328" s="22"/>
      <c r="AS328" s="22"/>
      <c r="AT328" s="22"/>
      <c r="AU328" s="22"/>
      <c r="AV328" s="22"/>
      <c r="AW328" s="22"/>
      <c r="AX328" s="22"/>
      <c r="AY328" s="22"/>
      <c r="AZ328" s="22"/>
      <c r="BA328" s="22"/>
      <c r="BB328" s="22"/>
      <c r="BC328" s="22"/>
      <c r="BD328" s="22"/>
      <c r="BE328" s="22"/>
      <c r="BF328" s="22"/>
      <c r="BG328" s="22"/>
      <c r="BH328" s="22"/>
      <c r="BI328" s="22"/>
      <c r="BJ328" s="22"/>
      <c r="BK328" s="22"/>
      <c r="BL328" s="22"/>
      <c r="BM328" s="22"/>
      <c r="BN328" s="22"/>
    </row>
    <row r="329" spans="1:66" ht="15.75" x14ac:dyDescent="0.2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2"/>
      <c r="AR329" s="22"/>
      <c r="AS329" s="22"/>
      <c r="AT329" s="22"/>
      <c r="AU329" s="22"/>
      <c r="AV329" s="22"/>
      <c r="AW329" s="22"/>
      <c r="AX329" s="22"/>
      <c r="AY329" s="22"/>
      <c r="AZ329" s="22"/>
      <c r="BA329" s="22"/>
      <c r="BB329" s="22"/>
      <c r="BC329" s="22"/>
      <c r="BD329" s="22"/>
      <c r="BE329" s="22"/>
      <c r="BF329" s="22"/>
      <c r="BG329" s="22"/>
      <c r="BH329" s="22"/>
      <c r="BI329" s="22"/>
      <c r="BJ329" s="22"/>
      <c r="BK329" s="22"/>
      <c r="BL329" s="22"/>
      <c r="BM329" s="22"/>
      <c r="BN329" s="22"/>
    </row>
    <row r="330" spans="1:66" ht="15.75" x14ac:dyDescent="0.2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2"/>
      <c r="AR330" s="22"/>
      <c r="AS330" s="22"/>
      <c r="AT330" s="22"/>
      <c r="AU330" s="22"/>
      <c r="AV330" s="22"/>
      <c r="AW330" s="22"/>
      <c r="AX330" s="22"/>
      <c r="AY330" s="22"/>
      <c r="AZ330" s="22"/>
      <c r="BA330" s="22"/>
      <c r="BB330" s="22"/>
      <c r="BC330" s="22"/>
      <c r="BD330" s="22"/>
      <c r="BE330" s="22"/>
      <c r="BF330" s="22"/>
      <c r="BG330" s="22"/>
      <c r="BH330" s="22"/>
      <c r="BI330" s="22"/>
      <c r="BJ330" s="22"/>
      <c r="BK330" s="22"/>
      <c r="BL330" s="22"/>
      <c r="BM330" s="22"/>
      <c r="BN330" s="22"/>
    </row>
    <row r="331" spans="1:66" ht="15.75" x14ac:dyDescent="0.2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2"/>
      <c r="AR331" s="22"/>
      <c r="AS331" s="22"/>
      <c r="AT331" s="22"/>
      <c r="AU331" s="22"/>
      <c r="AV331" s="22"/>
      <c r="AW331" s="22"/>
      <c r="AX331" s="22"/>
      <c r="AY331" s="22"/>
      <c r="AZ331" s="22"/>
      <c r="BA331" s="22"/>
      <c r="BB331" s="22"/>
      <c r="BC331" s="22"/>
      <c r="BD331" s="22"/>
      <c r="BE331" s="22"/>
      <c r="BF331" s="22"/>
      <c r="BG331" s="22"/>
      <c r="BH331" s="22"/>
      <c r="BI331" s="22"/>
      <c r="BJ331" s="22"/>
      <c r="BK331" s="22"/>
      <c r="BL331" s="22"/>
      <c r="BM331" s="22"/>
      <c r="BN331" s="22"/>
    </row>
    <row r="332" spans="1:66" ht="15.75" x14ac:dyDescent="0.2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2"/>
      <c r="BB332" s="22"/>
      <c r="BC332" s="22"/>
      <c r="BD332" s="22"/>
      <c r="BE332" s="22"/>
      <c r="BF332" s="22"/>
      <c r="BG332" s="22"/>
      <c r="BH332" s="22"/>
      <c r="BI332" s="22"/>
      <c r="BJ332" s="22"/>
      <c r="BK332" s="22"/>
      <c r="BL332" s="22"/>
      <c r="BM332" s="22"/>
      <c r="BN332" s="22"/>
    </row>
    <row r="333" spans="1:66" ht="15.75" x14ac:dyDescent="0.2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2"/>
      <c r="BA333" s="22"/>
      <c r="BB333" s="22"/>
      <c r="BC333" s="22"/>
      <c r="BD333" s="22"/>
      <c r="BE333" s="22"/>
      <c r="BF333" s="22"/>
      <c r="BG333" s="22"/>
      <c r="BH333" s="22"/>
      <c r="BI333" s="22"/>
      <c r="BJ333" s="22"/>
      <c r="BK333" s="22"/>
      <c r="BL333" s="22"/>
      <c r="BM333" s="22"/>
      <c r="BN333" s="22"/>
    </row>
    <row r="334" spans="1:66" ht="15.75" x14ac:dyDescent="0.2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2"/>
      <c r="AR334" s="22"/>
      <c r="AS334" s="22"/>
      <c r="AT334" s="22"/>
      <c r="AU334" s="22"/>
      <c r="AV334" s="22"/>
      <c r="AW334" s="22"/>
      <c r="AX334" s="22"/>
      <c r="AY334" s="22"/>
      <c r="AZ334" s="22"/>
      <c r="BA334" s="22"/>
      <c r="BB334" s="22"/>
      <c r="BC334" s="22"/>
      <c r="BD334" s="22"/>
      <c r="BE334" s="22"/>
      <c r="BF334" s="22"/>
      <c r="BG334" s="22"/>
      <c r="BH334" s="22"/>
      <c r="BI334" s="22"/>
      <c r="BJ334" s="22"/>
      <c r="BK334" s="22"/>
      <c r="BL334" s="22"/>
      <c r="BM334" s="22"/>
      <c r="BN334" s="22"/>
    </row>
    <row r="335" spans="1:66" ht="15.75" x14ac:dyDescent="0.2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2"/>
      <c r="AR335" s="22"/>
      <c r="AS335" s="22"/>
      <c r="AT335" s="22"/>
      <c r="AU335" s="22"/>
      <c r="AV335" s="22"/>
      <c r="AW335" s="22"/>
      <c r="AX335" s="22"/>
      <c r="AY335" s="22"/>
      <c r="AZ335" s="22"/>
      <c r="BA335" s="22"/>
      <c r="BB335" s="22"/>
      <c r="BC335" s="22"/>
      <c r="BD335" s="22"/>
      <c r="BE335" s="22"/>
      <c r="BF335" s="22"/>
      <c r="BG335" s="22"/>
      <c r="BH335" s="22"/>
      <c r="BI335" s="22"/>
      <c r="BJ335" s="22"/>
      <c r="BK335" s="22"/>
      <c r="BL335" s="22"/>
      <c r="BM335" s="22"/>
      <c r="BN335" s="22"/>
    </row>
    <row r="336" spans="1:66" ht="15.75" x14ac:dyDescent="0.2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2"/>
      <c r="AR336" s="22"/>
      <c r="AS336" s="22"/>
      <c r="AT336" s="22"/>
      <c r="AU336" s="22"/>
      <c r="AV336" s="22"/>
      <c r="AW336" s="22"/>
      <c r="AX336" s="22"/>
      <c r="AY336" s="22"/>
      <c r="AZ336" s="22"/>
      <c r="BA336" s="22"/>
      <c r="BB336" s="22"/>
      <c r="BC336" s="22"/>
      <c r="BD336" s="22"/>
      <c r="BE336" s="22"/>
      <c r="BF336" s="22"/>
      <c r="BG336" s="22"/>
      <c r="BH336" s="22"/>
      <c r="BI336" s="22"/>
      <c r="BJ336" s="22"/>
      <c r="BK336" s="22"/>
      <c r="BL336" s="22"/>
      <c r="BM336" s="22"/>
      <c r="BN336" s="22"/>
    </row>
    <row r="337" spans="1:66" ht="15.75" x14ac:dyDescent="0.2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  <c r="AQ337" s="22"/>
      <c r="AR337" s="22"/>
      <c r="AS337" s="22"/>
      <c r="AT337" s="22"/>
      <c r="AU337" s="22"/>
      <c r="AV337" s="22"/>
      <c r="AW337" s="22"/>
      <c r="AX337" s="22"/>
      <c r="AY337" s="22"/>
      <c r="AZ337" s="22"/>
      <c r="BA337" s="22"/>
      <c r="BB337" s="22"/>
      <c r="BC337" s="22"/>
      <c r="BD337" s="22"/>
      <c r="BE337" s="22"/>
      <c r="BF337" s="22"/>
      <c r="BG337" s="22"/>
      <c r="BH337" s="22"/>
      <c r="BI337" s="22"/>
      <c r="BJ337" s="22"/>
      <c r="BK337" s="22"/>
      <c r="BL337" s="22"/>
      <c r="BM337" s="22"/>
      <c r="BN337" s="22"/>
    </row>
    <row r="338" spans="1:66" ht="15.75" x14ac:dyDescent="0.2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  <c r="AQ338" s="22"/>
      <c r="AR338" s="22"/>
      <c r="AS338" s="22"/>
      <c r="AT338" s="22"/>
      <c r="AU338" s="22"/>
      <c r="AV338" s="22"/>
      <c r="AW338" s="22"/>
      <c r="AX338" s="22"/>
      <c r="AY338" s="22"/>
      <c r="AZ338" s="22"/>
      <c r="BA338" s="22"/>
      <c r="BB338" s="22"/>
      <c r="BC338" s="22"/>
      <c r="BD338" s="22"/>
      <c r="BE338" s="22"/>
      <c r="BF338" s="22"/>
      <c r="BG338" s="22"/>
      <c r="BH338" s="22"/>
      <c r="BI338" s="22"/>
      <c r="BJ338" s="22"/>
      <c r="BK338" s="22"/>
      <c r="BL338" s="22"/>
      <c r="BM338" s="22"/>
      <c r="BN338" s="22"/>
    </row>
    <row r="339" spans="1:66" ht="15.75" x14ac:dyDescent="0.2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  <c r="AQ339" s="22"/>
      <c r="AR339" s="22"/>
      <c r="AS339" s="22"/>
      <c r="AT339" s="22"/>
      <c r="AU339" s="22"/>
      <c r="AV339" s="22"/>
      <c r="AW339" s="22"/>
      <c r="AX339" s="22"/>
      <c r="AY339" s="22"/>
      <c r="AZ339" s="22"/>
      <c r="BA339" s="22"/>
      <c r="BB339" s="22"/>
      <c r="BC339" s="22"/>
      <c r="BD339" s="22"/>
      <c r="BE339" s="22"/>
      <c r="BF339" s="22"/>
      <c r="BG339" s="22"/>
      <c r="BH339" s="22"/>
      <c r="BI339" s="22"/>
      <c r="BJ339" s="22"/>
      <c r="BK339" s="22"/>
      <c r="BL339" s="22"/>
      <c r="BM339" s="22"/>
      <c r="BN339" s="22"/>
    </row>
    <row r="340" spans="1:66" ht="15.75" x14ac:dyDescent="0.2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  <c r="AQ340" s="22"/>
      <c r="AR340" s="22"/>
      <c r="AS340" s="22"/>
      <c r="AT340" s="22"/>
      <c r="AU340" s="22"/>
      <c r="AV340" s="22"/>
      <c r="AW340" s="22"/>
      <c r="AX340" s="22"/>
      <c r="AY340" s="22"/>
      <c r="AZ340" s="22"/>
      <c r="BA340" s="22"/>
      <c r="BB340" s="22"/>
      <c r="BC340" s="22"/>
      <c r="BD340" s="22"/>
      <c r="BE340" s="22"/>
      <c r="BF340" s="22"/>
      <c r="BG340" s="22"/>
      <c r="BH340" s="22"/>
      <c r="BI340" s="22"/>
      <c r="BJ340" s="22"/>
      <c r="BK340" s="22"/>
      <c r="BL340" s="22"/>
      <c r="BM340" s="22"/>
      <c r="BN340" s="22"/>
    </row>
    <row r="341" spans="1:66" ht="15.75" x14ac:dyDescent="0.2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  <c r="AQ341" s="22"/>
      <c r="AR341" s="22"/>
      <c r="AS341" s="22"/>
      <c r="AT341" s="22"/>
      <c r="AU341" s="22"/>
      <c r="AV341" s="22"/>
      <c r="AW341" s="22"/>
      <c r="AX341" s="22"/>
      <c r="AY341" s="22"/>
      <c r="AZ341" s="22"/>
      <c r="BA341" s="22"/>
      <c r="BB341" s="22"/>
      <c r="BC341" s="22"/>
      <c r="BD341" s="22"/>
      <c r="BE341" s="22"/>
      <c r="BF341" s="22"/>
      <c r="BG341" s="22"/>
      <c r="BH341" s="22"/>
      <c r="BI341" s="22"/>
      <c r="BJ341" s="22"/>
      <c r="BK341" s="22"/>
      <c r="BL341" s="22"/>
      <c r="BM341" s="22"/>
      <c r="BN341" s="22"/>
    </row>
    <row r="342" spans="1:66" ht="15.75" x14ac:dyDescent="0.2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  <c r="AQ342" s="22"/>
      <c r="AR342" s="22"/>
      <c r="AS342" s="22"/>
      <c r="AT342" s="22"/>
      <c r="AU342" s="22"/>
      <c r="AV342" s="22"/>
      <c r="AW342" s="22"/>
      <c r="AX342" s="22"/>
      <c r="AY342" s="22"/>
      <c r="AZ342" s="22"/>
      <c r="BA342" s="22"/>
      <c r="BB342" s="22"/>
      <c r="BC342" s="22"/>
      <c r="BD342" s="22"/>
      <c r="BE342" s="22"/>
      <c r="BF342" s="22"/>
      <c r="BG342" s="22"/>
      <c r="BH342" s="22"/>
      <c r="BI342" s="22"/>
      <c r="BJ342" s="22"/>
      <c r="BK342" s="22"/>
      <c r="BL342" s="22"/>
      <c r="BM342" s="22"/>
      <c r="BN342" s="22"/>
    </row>
    <row r="343" spans="1:66" ht="15.75" x14ac:dyDescent="0.2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  <c r="AQ343" s="22"/>
      <c r="AR343" s="22"/>
      <c r="AS343" s="22"/>
      <c r="AT343" s="22"/>
      <c r="AU343" s="22"/>
      <c r="AV343" s="22"/>
      <c r="AW343" s="22"/>
      <c r="AX343" s="22"/>
      <c r="AY343" s="22"/>
      <c r="AZ343" s="22"/>
      <c r="BA343" s="22"/>
      <c r="BB343" s="22"/>
      <c r="BC343" s="22"/>
      <c r="BD343" s="22"/>
      <c r="BE343" s="22"/>
      <c r="BF343" s="22"/>
      <c r="BG343" s="22"/>
      <c r="BH343" s="22"/>
      <c r="BI343" s="22"/>
      <c r="BJ343" s="22"/>
      <c r="BK343" s="22"/>
      <c r="BL343" s="22"/>
      <c r="BM343" s="22"/>
      <c r="BN343" s="22"/>
    </row>
    <row r="344" spans="1:66" ht="15.75" x14ac:dyDescent="0.2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  <c r="AQ344" s="22"/>
      <c r="AR344" s="22"/>
      <c r="AS344" s="22"/>
      <c r="AT344" s="22"/>
      <c r="AU344" s="22"/>
      <c r="AV344" s="22"/>
      <c r="AW344" s="22"/>
      <c r="AX344" s="22"/>
      <c r="AY344" s="22"/>
      <c r="AZ344" s="22"/>
      <c r="BA344" s="22"/>
      <c r="BB344" s="22"/>
      <c r="BC344" s="22"/>
      <c r="BD344" s="22"/>
      <c r="BE344" s="22"/>
      <c r="BF344" s="22"/>
      <c r="BG344" s="22"/>
      <c r="BH344" s="22"/>
      <c r="BI344" s="22"/>
      <c r="BJ344" s="22"/>
      <c r="BK344" s="22"/>
      <c r="BL344" s="22"/>
      <c r="BM344" s="22"/>
      <c r="BN344" s="22"/>
    </row>
    <row r="345" spans="1:66" ht="15.75" x14ac:dyDescent="0.2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  <c r="AQ345" s="22"/>
      <c r="AR345" s="22"/>
      <c r="AS345" s="22"/>
      <c r="AT345" s="22"/>
      <c r="AU345" s="22"/>
      <c r="AV345" s="22"/>
      <c r="AW345" s="22"/>
      <c r="AX345" s="22"/>
      <c r="AY345" s="22"/>
      <c r="AZ345" s="22"/>
      <c r="BA345" s="22"/>
      <c r="BB345" s="22"/>
      <c r="BC345" s="22"/>
      <c r="BD345" s="22"/>
      <c r="BE345" s="22"/>
      <c r="BF345" s="22"/>
      <c r="BG345" s="22"/>
      <c r="BH345" s="22"/>
      <c r="BI345" s="22"/>
      <c r="BJ345" s="22"/>
      <c r="BK345" s="22"/>
      <c r="BL345" s="22"/>
      <c r="BM345" s="22"/>
      <c r="BN345" s="22"/>
    </row>
    <row r="346" spans="1:66" ht="15.75" x14ac:dyDescent="0.2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  <c r="AQ346" s="22"/>
      <c r="AR346" s="22"/>
      <c r="AS346" s="22"/>
      <c r="AT346" s="22"/>
      <c r="AU346" s="22"/>
      <c r="AV346" s="22"/>
      <c r="AW346" s="22"/>
      <c r="AX346" s="22"/>
      <c r="AY346" s="22"/>
      <c r="AZ346" s="22"/>
      <c r="BA346" s="22"/>
      <c r="BB346" s="22"/>
      <c r="BC346" s="22"/>
      <c r="BD346" s="22"/>
      <c r="BE346" s="22"/>
      <c r="BF346" s="22"/>
      <c r="BG346" s="22"/>
      <c r="BH346" s="22"/>
      <c r="BI346" s="22"/>
      <c r="BJ346" s="22"/>
      <c r="BK346" s="22"/>
      <c r="BL346" s="22"/>
      <c r="BM346" s="22"/>
      <c r="BN346" s="22"/>
    </row>
    <row r="347" spans="1:66" ht="15.75" x14ac:dyDescent="0.2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2"/>
      <c r="AR347" s="22"/>
      <c r="AS347" s="22"/>
      <c r="AT347" s="22"/>
      <c r="AU347" s="22"/>
      <c r="AV347" s="22"/>
      <c r="AW347" s="22"/>
      <c r="AX347" s="22"/>
      <c r="AY347" s="22"/>
      <c r="AZ347" s="22"/>
      <c r="BA347" s="22"/>
      <c r="BB347" s="22"/>
      <c r="BC347" s="22"/>
      <c r="BD347" s="22"/>
      <c r="BE347" s="22"/>
      <c r="BF347" s="22"/>
      <c r="BG347" s="22"/>
      <c r="BH347" s="22"/>
      <c r="BI347" s="22"/>
      <c r="BJ347" s="22"/>
      <c r="BK347" s="22"/>
      <c r="BL347" s="22"/>
      <c r="BM347" s="22"/>
      <c r="BN347" s="22"/>
    </row>
    <row r="348" spans="1:66" ht="15.75" x14ac:dyDescent="0.2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  <c r="AR348" s="22"/>
      <c r="AS348" s="22"/>
      <c r="AT348" s="22"/>
      <c r="AU348" s="22"/>
      <c r="AV348" s="22"/>
      <c r="AW348" s="22"/>
      <c r="AX348" s="22"/>
      <c r="AY348" s="22"/>
      <c r="AZ348" s="22"/>
      <c r="BA348" s="22"/>
      <c r="BB348" s="22"/>
      <c r="BC348" s="22"/>
      <c r="BD348" s="22"/>
      <c r="BE348" s="22"/>
      <c r="BF348" s="22"/>
      <c r="BG348" s="22"/>
      <c r="BH348" s="22"/>
      <c r="BI348" s="22"/>
      <c r="BJ348" s="22"/>
      <c r="BK348" s="22"/>
      <c r="BL348" s="22"/>
      <c r="BM348" s="22"/>
      <c r="BN348" s="22"/>
    </row>
    <row r="349" spans="1:66" ht="15.75" x14ac:dyDescent="0.2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2"/>
      <c r="AR349" s="22"/>
      <c r="AS349" s="22"/>
      <c r="AT349" s="22"/>
      <c r="AU349" s="22"/>
      <c r="AV349" s="22"/>
      <c r="AW349" s="22"/>
      <c r="AX349" s="22"/>
      <c r="AY349" s="22"/>
      <c r="AZ349" s="22"/>
      <c r="BA349" s="22"/>
      <c r="BB349" s="22"/>
      <c r="BC349" s="22"/>
      <c r="BD349" s="22"/>
      <c r="BE349" s="22"/>
      <c r="BF349" s="22"/>
      <c r="BG349" s="22"/>
      <c r="BH349" s="22"/>
      <c r="BI349" s="22"/>
      <c r="BJ349" s="22"/>
      <c r="BK349" s="22"/>
      <c r="BL349" s="22"/>
      <c r="BM349" s="22"/>
      <c r="BN349" s="22"/>
    </row>
    <row r="350" spans="1:66" ht="15.75" x14ac:dyDescent="0.2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2"/>
      <c r="AR350" s="22"/>
      <c r="AS350" s="22"/>
      <c r="AT350" s="22"/>
      <c r="AU350" s="22"/>
      <c r="AV350" s="22"/>
      <c r="AW350" s="22"/>
      <c r="AX350" s="22"/>
      <c r="AY350" s="22"/>
      <c r="AZ350" s="22"/>
      <c r="BA350" s="22"/>
      <c r="BB350" s="22"/>
      <c r="BC350" s="22"/>
      <c r="BD350" s="22"/>
      <c r="BE350" s="22"/>
      <c r="BF350" s="22"/>
      <c r="BG350" s="22"/>
      <c r="BH350" s="22"/>
      <c r="BI350" s="22"/>
      <c r="BJ350" s="22"/>
      <c r="BK350" s="22"/>
      <c r="BL350" s="22"/>
      <c r="BM350" s="22"/>
      <c r="BN350" s="22"/>
    </row>
    <row r="351" spans="1:66" ht="15.75" x14ac:dyDescent="0.2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  <c r="AQ351" s="22"/>
      <c r="AR351" s="22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</row>
    <row r="352" spans="1:66" ht="15.75" x14ac:dyDescent="0.2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2"/>
      <c r="AR352" s="22"/>
      <c r="AS352" s="22"/>
      <c r="AT352" s="22"/>
      <c r="AU352" s="22"/>
      <c r="AV352" s="22"/>
      <c r="AW352" s="22"/>
      <c r="AX352" s="22"/>
      <c r="AY352" s="22"/>
      <c r="AZ352" s="22"/>
      <c r="BA352" s="22"/>
      <c r="BB352" s="22"/>
      <c r="BC352" s="22"/>
      <c r="BD352" s="22"/>
      <c r="BE352" s="22"/>
      <c r="BF352" s="22"/>
      <c r="BG352" s="22"/>
      <c r="BH352" s="22"/>
      <c r="BI352" s="22"/>
      <c r="BJ352" s="22"/>
      <c r="BK352" s="22"/>
      <c r="BL352" s="22"/>
      <c r="BM352" s="22"/>
      <c r="BN352" s="22"/>
    </row>
    <row r="353" spans="1:66" ht="15.75" x14ac:dyDescent="0.2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2"/>
      <c r="AR353" s="22"/>
      <c r="AS353" s="22"/>
      <c r="AT353" s="22"/>
      <c r="AU353" s="22"/>
      <c r="AV353" s="22"/>
      <c r="AW353" s="22"/>
      <c r="AX353" s="22"/>
      <c r="AY353" s="22"/>
      <c r="AZ353" s="22"/>
      <c r="BA353" s="22"/>
      <c r="BB353" s="22"/>
      <c r="BC353" s="22"/>
      <c r="BD353" s="22"/>
      <c r="BE353" s="22"/>
      <c r="BF353" s="22"/>
      <c r="BG353" s="22"/>
      <c r="BH353" s="22"/>
      <c r="BI353" s="22"/>
      <c r="BJ353" s="22"/>
      <c r="BK353" s="22"/>
      <c r="BL353" s="22"/>
      <c r="BM353" s="22"/>
      <c r="BN353" s="22"/>
    </row>
    <row r="354" spans="1:66" ht="15.75" x14ac:dyDescent="0.2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2"/>
      <c r="AR354" s="22"/>
      <c r="AS354" s="22"/>
      <c r="AT354" s="22"/>
      <c r="AU354" s="22"/>
      <c r="AV354" s="22"/>
      <c r="AW354" s="22"/>
      <c r="AX354" s="22"/>
      <c r="AY354" s="22"/>
      <c r="AZ354" s="22"/>
      <c r="BA354" s="22"/>
      <c r="BB354" s="22"/>
      <c r="BC354" s="22"/>
      <c r="BD354" s="22"/>
      <c r="BE354" s="22"/>
      <c r="BF354" s="22"/>
      <c r="BG354" s="22"/>
      <c r="BH354" s="22"/>
      <c r="BI354" s="22"/>
      <c r="BJ354" s="22"/>
      <c r="BK354" s="22"/>
      <c r="BL354" s="22"/>
      <c r="BM354" s="22"/>
      <c r="BN354" s="22"/>
    </row>
    <row r="355" spans="1:66" ht="15.75" x14ac:dyDescent="0.2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  <c r="AQ355" s="22"/>
      <c r="AR355" s="22"/>
      <c r="AS355" s="22"/>
      <c r="AT355" s="22"/>
      <c r="AU355" s="22"/>
      <c r="AV355" s="22"/>
      <c r="AW355" s="22"/>
      <c r="AX355" s="22"/>
      <c r="AY355" s="22"/>
      <c r="AZ355" s="22"/>
      <c r="BA355" s="22"/>
      <c r="BB355" s="22"/>
      <c r="BC355" s="22"/>
      <c r="BD355" s="22"/>
      <c r="BE355" s="22"/>
      <c r="BF355" s="22"/>
      <c r="BG355" s="22"/>
      <c r="BH355" s="22"/>
      <c r="BI355" s="22"/>
      <c r="BJ355" s="22"/>
      <c r="BK355" s="22"/>
      <c r="BL355" s="22"/>
      <c r="BM355" s="22"/>
      <c r="BN355" s="22"/>
    </row>
    <row r="356" spans="1:66" ht="15.75" x14ac:dyDescent="0.2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2"/>
      <c r="AR356" s="22"/>
      <c r="AS356" s="22"/>
      <c r="AT356" s="22"/>
      <c r="AU356" s="22"/>
      <c r="AV356" s="22"/>
      <c r="AW356" s="22"/>
      <c r="AX356" s="22"/>
      <c r="AY356" s="22"/>
      <c r="AZ356" s="22"/>
      <c r="BA356" s="22"/>
      <c r="BB356" s="22"/>
      <c r="BC356" s="22"/>
      <c r="BD356" s="22"/>
      <c r="BE356" s="22"/>
      <c r="BF356" s="22"/>
      <c r="BG356" s="22"/>
      <c r="BH356" s="22"/>
      <c r="BI356" s="22"/>
      <c r="BJ356" s="22"/>
      <c r="BK356" s="22"/>
      <c r="BL356" s="22"/>
      <c r="BM356" s="22"/>
      <c r="BN356" s="22"/>
    </row>
    <row r="357" spans="1:66" ht="15.75" x14ac:dyDescent="0.2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2"/>
      <c r="AR357" s="22"/>
      <c r="AS357" s="22"/>
      <c r="AT357" s="22"/>
      <c r="AU357" s="22"/>
      <c r="AV357" s="22"/>
      <c r="AW357" s="22"/>
      <c r="AX357" s="22"/>
      <c r="AY357" s="22"/>
      <c r="AZ357" s="22"/>
      <c r="BA357" s="22"/>
      <c r="BB357" s="22"/>
      <c r="BC357" s="22"/>
      <c r="BD357" s="22"/>
      <c r="BE357" s="22"/>
      <c r="BF357" s="22"/>
      <c r="BG357" s="22"/>
      <c r="BH357" s="22"/>
      <c r="BI357" s="22"/>
      <c r="BJ357" s="22"/>
      <c r="BK357" s="22"/>
      <c r="BL357" s="22"/>
      <c r="BM357" s="22"/>
      <c r="BN357" s="22"/>
    </row>
    <row r="358" spans="1:66" ht="15.75" x14ac:dyDescent="0.2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  <c r="AQ358" s="22"/>
      <c r="AR358" s="22"/>
      <c r="AS358" s="22"/>
      <c r="AT358" s="22"/>
      <c r="AU358" s="22"/>
      <c r="AV358" s="22"/>
      <c r="AW358" s="22"/>
      <c r="AX358" s="22"/>
      <c r="AY358" s="22"/>
      <c r="AZ358" s="22"/>
      <c r="BA358" s="22"/>
      <c r="BB358" s="22"/>
      <c r="BC358" s="22"/>
      <c r="BD358" s="22"/>
      <c r="BE358" s="22"/>
      <c r="BF358" s="22"/>
      <c r="BG358" s="22"/>
      <c r="BH358" s="22"/>
      <c r="BI358" s="22"/>
      <c r="BJ358" s="22"/>
      <c r="BK358" s="22"/>
      <c r="BL358" s="22"/>
      <c r="BM358" s="22"/>
      <c r="BN358" s="22"/>
    </row>
    <row r="359" spans="1:66" ht="15.75" x14ac:dyDescent="0.2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2"/>
      <c r="AR359" s="22"/>
      <c r="AS359" s="22"/>
      <c r="AT359" s="22"/>
      <c r="AU359" s="22"/>
      <c r="AV359" s="22"/>
      <c r="AW359" s="22"/>
      <c r="AX359" s="22"/>
      <c r="AY359" s="22"/>
      <c r="AZ359" s="22"/>
      <c r="BA359" s="22"/>
      <c r="BB359" s="22"/>
      <c r="BC359" s="22"/>
      <c r="BD359" s="22"/>
      <c r="BE359" s="22"/>
      <c r="BF359" s="22"/>
      <c r="BG359" s="22"/>
      <c r="BH359" s="22"/>
      <c r="BI359" s="22"/>
      <c r="BJ359" s="22"/>
      <c r="BK359" s="22"/>
      <c r="BL359" s="22"/>
      <c r="BM359" s="22"/>
      <c r="BN359" s="22"/>
    </row>
    <row r="360" spans="1:66" ht="15.75" x14ac:dyDescent="0.2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  <c r="AQ360" s="22"/>
      <c r="AR360" s="22"/>
      <c r="AS360" s="22"/>
      <c r="AT360" s="22"/>
      <c r="AU360" s="22"/>
      <c r="AV360" s="22"/>
      <c r="AW360" s="22"/>
      <c r="AX360" s="22"/>
      <c r="AY360" s="22"/>
      <c r="AZ360" s="22"/>
      <c r="BA360" s="22"/>
      <c r="BB360" s="22"/>
      <c r="BC360" s="22"/>
      <c r="BD360" s="22"/>
      <c r="BE360" s="22"/>
      <c r="BF360" s="22"/>
      <c r="BG360" s="22"/>
      <c r="BH360" s="22"/>
      <c r="BI360" s="22"/>
      <c r="BJ360" s="22"/>
      <c r="BK360" s="22"/>
      <c r="BL360" s="22"/>
      <c r="BM360" s="22"/>
      <c r="BN360" s="22"/>
    </row>
    <row r="361" spans="1:66" ht="15.75" x14ac:dyDescent="0.2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2"/>
      <c r="AR361" s="22"/>
      <c r="AS361" s="22"/>
      <c r="AT361" s="22"/>
      <c r="AU361" s="22"/>
      <c r="AV361" s="22"/>
      <c r="AW361" s="22"/>
      <c r="AX361" s="22"/>
      <c r="AY361" s="22"/>
      <c r="AZ361" s="22"/>
      <c r="BA361" s="22"/>
      <c r="BB361" s="22"/>
      <c r="BC361" s="22"/>
      <c r="BD361" s="22"/>
      <c r="BE361" s="22"/>
      <c r="BF361" s="22"/>
      <c r="BG361" s="22"/>
      <c r="BH361" s="22"/>
      <c r="BI361" s="22"/>
      <c r="BJ361" s="22"/>
      <c r="BK361" s="22"/>
      <c r="BL361" s="22"/>
      <c r="BM361" s="22"/>
      <c r="BN361" s="22"/>
    </row>
    <row r="362" spans="1:66" ht="15.75" x14ac:dyDescent="0.2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2"/>
      <c r="AR362" s="22"/>
      <c r="AS362" s="22"/>
      <c r="AT362" s="22"/>
      <c r="AU362" s="22"/>
      <c r="AV362" s="22"/>
      <c r="AW362" s="22"/>
      <c r="AX362" s="22"/>
      <c r="AY362" s="22"/>
      <c r="AZ362" s="22"/>
      <c r="BA362" s="22"/>
      <c r="BB362" s="22"/>
      <c r="BC362" s="22"/>
      <c r="BD362" s="22"/>
      <c r="BE362" s="22"/>
      <c r="BF362" s="22"/>
      <c r="BG362" s="22"/>
      <c r="BH362" s="22"/>
      <c r="BI362" s="22"/>
      <c r="BJ362" s="22"/>
      <c r="BK362" s="22"/>
      <c r="BL362" s="22"/>
      <c r="BM362" s="22"/>
      <c r="BN362" s="22"/>
    </row>
    <row r="363" spans="1:66" ht="15.75" x14ac:dyDescent="0.2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  <c r="AQ363" s="22"/>
      <c r="AR363" s="22"/>
      <c r="AS363" s="22"/>
      <c r="AT363" s="22"/>
      <c r="AU363" s="22"/>
      <c r="AV363" s="22"/>
      <c r="AW363" s="22"/>
      <c r="AX363" s="22"/>
      <c r="AY363" s="22"/>
      <c r="AZ363" s="22"/>
      <c r="BA363" s="22"/>
      <c r="BB363" s="22"/>
      <c r="BC363" s="22"/>
      <c r="BD363" s="22"/>
      <c r="BE363" s="22"/>
      <c r="BF363" s="22"/>
      <c r="BG363" s="22"/>
      <c r="BH363" s="22"/>
      <c r="BI363" s="22"/>
      <c r="BJ363" s="22"/>
      <c r="BK363" s="22"/>
      <c r="BL363" s="22"/>
      <c r="BM363" s="22"/>
      <c r="BN363" s="22"/>
    </row>
    <row r="364" spans="1:66" ht="15.75" x14ac:dyDescent="0.2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  <c r="AQ364" s="22"/>
      <c r="AR364" s="22"/>
      <c r="AS364" s="22"/>
      <c r="AT364" s="22"/>
      <c r="AU364" s="22"/>
      <c r="AV364" s="22"/>
      <c r="AW364" s="22"/>
      <c r="AX364" s="22"/>
      <c r="AY364" s="22"/>
      <c r="AZ364" s="22"/>
      <c r="BA364" s="22"/>
      <c r="BB364" s="22"/>
      <c r="BC364" s="22"/>
      <c r="BD364" s="22"/>
      <c r="BE364" s="22"/>
      <c r="BF364" s="22"/>
      <c r="BG364" s="22"/>
      <c r="BH364" s="22"/>
      <c r="BI364" s="22"/>
      <c r="BJ364" s="22"/>
      <c r="BK364" s="22"/>
      <c r="BL364" s="22"/>
      <c r="BM364" s="22"/>
      <c r="BN364" s="22"/>
    </row>
    <row r="365" spans="1:66" ht="15.75" x14ac:dyDescent="0.2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2"/>
      <c r="AR365" s="22"/>
      <c r="AS365" s="22"/>
      <c r="AT365" s="22"/>
      <c r="AU365" s="22"/>
      <c r="AV365" s="22"/>
      <c r="AW365" s="22"/>
      <c r="AX365" s="22"/>
      <c r="AY365" s="22"/>
      <c r="AZ365" s="22"/>
      <c r="BA365" s="22"/>
      <c r="BB365" s="22"/>
      <c r="BC365" s="22"/>
      <c r="BD365" s="22"/>
      <c r="BE365" s="22"/>
      <c r="BF365" s="22"/>
      <c r="BG365" s="22"/>
      <c r="BH365" s="22"/>
      <c r="BI365" s="22"/>
      <c r="BJ365" s="22"/>
      <c r="BK365" s="22"/>
      <c r="BL365" s="22"/>
      <c r="BM365" s="22"/>
      <c r="BN365" s="22"/>
    </row>
    <row r="366" spans="1:66" ht="15.75" x14ac:dyDescent="0.2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2"/>
      <c r="AR366" s="22"/>
      <c r="AS366" s="22"/>
      <c r="AT366" s="22"/>
      <c r="AU366" s="22"/>
      <c r="AV366" s="22"/>
      <c r="AW366" s="22"/>
      <c r="AX366" s="22"/>
      <c r="AY366" s="22"/>
      <c r="AZ366" s="22"/>
      <c r="BA366" s="22"/>
      <c r="BB366" s="22"/>
      <c r="BC366" s="22"/>
      <c r="BD366" s="22"/>
      <c r="BE366" s="22"/>
      <c r="BF366" s="22"/>
      <c r="BG366" s="22"/>
      <c r="BH366" s="22"/>
      <c r="BI366" s="22"/>
      <c r="BJ366" s="22"/>
      <c r="BK366" s="22"/>
      <c r="BL366" s="22"/>
      <c r="BM366" s="22"/>
      <c r="BN366" s="22"/>
    </row>
    <row r="367" spans="1:66" ht="15.75" x14ac:dyDescent="0.2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  <c r="AQ367" s="22"/>
      <c r="AR367" s="22"/>
      <c r="AS367" s="22"/>
      <c r="AT367" s="22"/>
      <c r="AU367" s="22"/>
      <c r="AV367" s="22"/>
      <c r="AW367" s="22"/>
      <c r="AX367" s="22"/>
      <c r="AY367" s="22"/>
      <c r="AZ367" s="22"/>
      <c r="BA367" s="22"/>
      <c r="BB367" s="22"/>
      <c r="BC367" s="22"/>
      <c r="BD367" s="22"/>
      <c r="BE367" s="22"/>
      <c r="BF367" s="22"/>
      <c r="BG367" s="22"/>
      <c r="BH367" s="22"/>
      <c r="BI367" s="22"/>
      <c r="BJ367" s="22"/>
      <c r="BK367" s="22"/>
      <c r="BL367" s="22"/>
      <c r="BM367" s="22"/>
      <c r="BN367" s="22"/>
    </row>
    <row r="368" spans="1:66" ht="15.75" x14ac:dyDescent="0.2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2"/>
      <c r="AR368" s="22"/>
      <c r="AS368" s="22"/>
      <c r="AT368" s="22"/>
      <c r="AU368" s="22"/>
      <c r="AV368" s="22"/>
      <c r="AW368" s="22"/>
      <c r="AX368" s="22"/>
      <c r="AY368" s="22"/>
      <c r="AZ368" s="22"/>
      <c r="BA368" s="22"/>
      <c r="BB368" s="22"/>
      <c r="BC368" s="22"/>
      <c r="BD368" s="22"/>
      <c r="BE368" s="22"/>
      <c r="BF368" s="22"/>
      <c r="BG368" s="22"/>
      <c r="BH368" s="22"/>
      <c r="BI368" s="22"/>
      <c r="BJ368" s="22"/>
      <c r="BK368" s="22"/>
      <c r="BL368" s="22"/>
      <c r="BM368" s="22"/>
      <c r="BN368" s="22"/>
    </row>
    <row r="369" spans="1:66" ht="15.75" x14ac:dyDescent="0.2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2"/>
      <c r="AR369" s="22"/>
      <c r="AS369" s="22"/>
      <c r="AT369" s="22"/>
      <c r="AU369" s="22"/>
      <c r="AV369" s="22"/>
      <c r="AW369" s="22"/>
      <c r="AX369" s="22"/>
      <c r="AY369" s="22"/>
      <c r="AZ369" s="22"/>
      <c r="BA369" s="22"/>
      <c r="BB369" s="22"/>
      <c r="BC369" s="22"/>
      <c r="BD369" s="22"/>
      <c r="BE369" s="22"/>
      <c r="BF369" s="22"/>
      <c r="BG369" s="22"/>
      <c r="BH369" s="22"/>
      <c r="BI369" s="22"/>
      <c r="BJ369" s="22"/>
      <c r="BK369" s="22"/>
      <c r="BL369" s="22"/>
      <c r="BM369" s="22"/>
      <c r="BN369" s="22"/>
    </row>
    <row r="370" spans="1:66" ht="15.75" x14ac:dyDescent="0.2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  <c r="AQ370" s="22"/>
      <c r="AR370" s="22"/>
      <c r="AS370" s="22"/>
      <c r="AT370" s="22"/>
      <c r="AU370" s="22"/>
      <c r="AV370" s="22"/>
      <c r="AW370" s="22"/>
      <c r="AX370" s="22"/>
      <c r="AY370" s="22"/>
      <c r="AZ370" s="22"/>
      <c r="BA370" s="22"/>
      <c r="BB370" s="22"/>
      <c r="BC370" s="22"/>
      <c r="BD370" s="22"/>
      <c r="BE370" s="22"/>
      <c r="BF370" s="22"/>
      <c r="BG370" s="22"/>
      <c r="BH370" s="22"/>
      <c r="BI370" s="22"/>
      <c r="BJ370" s="22"/>
      <c r="BK370" s="22"/>
      <c r="BL370" s="22"/>
      <c r="BM370" s="22"/>
      <c r="BN370" s="22"/>
    </row>
    <row r="371" spans="1:66" ht="15.75" x14ac:dyDescent="0.2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2"/>
      <c r="AR371" s="22"/>
      <c r="AS371" s="22"/>
      <c r="AT371" s="22"/>
      <c r="AU371" s="22"/>
      <c r="AV371" s="22"/>
      <c r="AW371" s="22"/>
      <c r="AX371" s="22"/>
      <c r="AY371" s="22"/>
      <c r="AZ371" s="22"/>
      <c r="BA371" s="22"/>
      <c r="BB371" s="22"/>
      <c r="BC371" s="22"/>
      <c r="BD371" s="22"/>
      <c r="BE371" s="22"/>
      <c r="BF371" s="22"/>
      <c r="BG371" s="22"/>
      <c r="BH371" s="22"/>
      <c r="BI371" s="22"/>
      <c r="BJ371" s="22"/>
      <c r="BK371" s="22"/>
      <c r="BL371" s="22"/>
      <c r="BM371" s="22"/>
      <c r="BN371" s="22"/>
    </row>
  </sheetData>
  <mergeCells count="56">
    <mergeCell ref="J50:K50"/>
    <mergeCell ref="J54:K54"/>
    <mergeCell ref="I37:P37"/>
    <mergeCell ref="J38:K38"/>
    <mergeCell ref="I41:P41"/>
    <mergeCell ref="J42:K42"/>
    <mergeCell ref="J34:K34"/>
    <mergeCell ref="J46:K46"/>
    <mergeCell ref="I13:P13"/>
    <mergeCell ref="J14:K14"/>
    <mergeCell ref="I17:P17"/>
    <mergeCell ref="J18:K18"/>
    <mergeCell ref="I21:P21"/>
    <mergeCell ref="J22:K22"/>
    <mergeCell ref="I25:P25"/>
    <mergeCell ref="J26:K26"/>
    <mergeCell ref="I29:P29"/>
    <mergeCell ref="J30:K30"/>
    <mergeCell ref="I33:P33"/>
    <mergeCell ref="A25:H25"/>
    <mergeCell ref="B26:C26"/>
    <mergeCell ref="A53:H53"/>
    <mergeCell ref="B54:C54"/>
    <mergeCell ref="A57:H57"/>
    <mergeCell ref="A41:H41"/>
    <mergeCell ref="B42:C42"/>
    <mergeCell ref="A45:H45"/>
    <mergeCell ref="A49:H49"/>
    <mergeCell ref="B50:C50"/>
    <mergeCell ref="B38:C38"/>
    <mergeCell ref="B22:C22"/>
    <mergeCell ref="B6:C6"/>
    <mergeCell ref="B10:C10"/>
    <mergeCell ref="A9:H9"/>
    <mergeCell ref="A21:H21"/>
    <mergeCell ref="B2:P2"/>
    <mergeCell ref="A13:H13"/>
    <mergeCell ref="B14:C14"/>
    <mergeCell ref="A17:H17"/>
    <mergeCell ref="B18:C18"/>
    <mergeCell ref="J10:K10"/>
    <mergeCell ref="I5:P5"/>
    <mergeCell ref="J6:K6"/>
    <mergeCell ref="I9:P9"/>
    <mergeCell ref="B66:C66"/>
    <mergeCell ref="B70:C70"/>
    <mergeCell ref="A29:H29"/>
    <mergeCell ref="B30:C30"/>
    <mergeCell ref="A33:H33"/>
    <mergeCell ref="B34:C34"/>
    <mergeCell ref="A37:H37"/>
    <mergeCell ref="B62:C62"/>
    <mergeCell ref="A65:H65"/>
    <mergeCell ref="B46:C46"/>
    <mergeCell ref="B58:C58"/>
    <mergeCell ref="A61:H6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BN424"/>
  <sheetViews>
    <sheetView topLeftCell="A4" zoomScale="70" zoomScaleNormal="70" workbookViewId="0">
      <selection activeCell="J78" sqref="J78:O80"/>
    </sheetView>
  </sheetViews>
  <sheetFormatPr baseColWidth="10" defaultRowHeight="15" x14ac:dyDescent="0.25"/>
  <cols>
    <col min="1" max="1" width="5.7109375" customWidth="1"/>
  </cols>
  <sheetData>
    <row r="1" spans="1:66" s="1" customFormat="1" ht="20.100000000000001" customHeight="1" x14ac:dyDescent="0.25"/>
    <row r="2" spans="1:66" ht="50.1" customHeight="1" x14ac:dyDescent="0.25">
      <c r="A2" s="1"/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</row>
    <row r="3" spans="1:66" ht="15" customHeight="1" x14ac:dyDescent="0.25">
      <c r="A3" s="1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</row>
    <row r="4" spans="1:66" ht="20.100000000000001" customHeight="1" x14ac:dyDescent="0.25">
      <c r="A4" s="27"/>
      <c r="B4" s="260" t="s">
        <v>79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</row>
    <row r="5" spans="1:66" ht="9.9499999999999993" customHeight="1" x14ac:dyDescent="0.25">
      <c r="A5" s="27"/>
      <c r="B5" s="260"/>
      <c r="C5" s="27"/>
      <c r="D5" s="27"/>
      <c r="E5" s="27"/>
      <c r="F5" s="27"/>
      <c r="G5" s="27"/>
      <c r="H5" s="27"/>
      <c r="I5" s="571"/>
      <c r="J5" s="571"/>
      <c r="K5" s="571"/>
      <c r="L5" s="571"/>
      <c r="M5" s="571"/>
      <c r="N5" s="571"/>
      <c r="O5" s="571"/>
      <c r="P5" s="571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</row>
    <row r="6" spans="1:66" ht="20.100000000000001" customHeight="1" x14ac:dyDescent="0.25">
      <c r="A6" s="22"/>
      <c r="B6" s="570"/>
      <c r="C6" s="570"/>
      <c r="D6" s="230" t="s">
        <v>76</v>
      </c>
      <c r="E6" s="230" t="s">
        <v>77</v>
      </c>
      <c r="F6" s="233"/>
      <c r="G6" s="233"/>
      <c r="H6" s="22"/>
      <c r="I6" s="22"/>
      <c r="J6" s="570"/>
      <c r="K6" s="570"/>
      <c r="L6" s="230" t="s">
        <v>76</v>
      </c>
      <c r="M6" s="230" t="s">
        <v>77</v>
      </c>
      <c r="N6" s="233"/>
      <c r="O6" s="233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</row>
    <row r="7" spans="1:66" ht="20.100000000000001" customHeight="1" x14ac:dyDescent="0.25">
      <c r="A7" s="22"/>
      <c r="B7" s="230">
        <v>1</v>
      </c>
      <c r="C7" s="230" t="s">
        <v>137</v>
      </c>
      <c r="D7" s="233">
        <v>2</v>
      </c>
      <c r="E7" s="433">
        <v>221.8297</v>
      </c>
      <c r="F7" s="233"/>
      <c r="G7" s="233"/>
      <c r="H7" s="22"/>
      <c r="I7" s="22"/>
      <c r="J7" s="230">
        <v>26</v>
      </c>
      <c r="K7" s="230" t="s">
        <v>88</v>
      </c>
      <c r="L7" s="233">
        <v>2</v>
      </c>
      <c r="M7" s="433">
        <v>156.2499</v>
      </c>
      <c r="N7" s="233"/>
      <c r="O7" s="233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</row>
    <row r="8" spans="1:66" ht="20.100000000000001" customHeight="1" x14ac:dyDescent="0.25">
      <c r="A8" s="22"/>
      <c r="B8" s="230"/>
      <c r="C8" s="230">
        <v>200</v>
      </c>
      <c r="D8" s="433">
        <f>(E8*D7)/E7</f>
        <v>0.89011345189575608</v>
      </c>
      <c r="E8" s="433">
        <v>98.726799999999997</v>
      </c>
      <c r="F8" s="434" t="s">
        <v>78</v>
      </c>
      <c r="G8" s="435">
        <f>C8-D8</f>
        <v>199.10988654810424</v>
      </c>
      <c r="H8" s="22"/>
      <c r="I8" s="22"/>
      <c r="J8" s="230"/>
      <c r="K8" s="230">
        <v>196</v>
      </c>
      <c r="L8" s="433">
        <f>(M8*L7)/M7</f>
        <v>0.80434739478233264</v>
      </c>
      <c r="M8" s="433">
        <v>62.839599999999997</v>
      </c>
      <c r="N8" s="434" t="s">
        <v>78</v>
      </c>
      <c r="O8" s="435">
        <f>K8+L8</f>
        <v>196.80434739478233</v>
      </c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</row>
    <row r="9" spans="1:66" ht="9.9499999999999993" customHeight="1" x14ac:dyDescent="0.25">
      <c r="A9" s="571"/>
      <c r="B9" s="571"/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  <c r="P9" s="571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</row>
    <row r="10" spans="1:66" ht="20.100000000000001" customHeight="1" x14ac:dyDescent="0.25">
      <c r="A10" s="22"/>
      <c r="B10" s="570"/>
      <c r="C10" s="570"/>
      <c r="D10" s="230" t="s">
        <v>76</v>
      </c>
      <c r="E10" s="230" t="s">
        <v>77</v>
      </c>
      <c r="F10" s="233"/>
      <c r="G10" s="233"/>
      <c r="H10" s="22"/>
      <c r="I10" s="22"/>
      <c r="J10" s="570"/>
      <c r="K10" s="570"/>
      <c r="L10" s="230" t="s">
        <v>76</v>
      </c>
      <c r="M10" s="230" t="s">
        <v>77</v>
      </c>
      <c r="N10" s="233"/>
      <c r="O10" s="233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</row>
    <row r="11" spans="1:66" ht="20.100000000000001" customHeight="1" x14ac:dyDescent="0.25">
      <c r="A11" s="22"/>
      <c r="B11" s="230">
        <v>2</v>
      </c>
      <c r="C11" s="230" t="s">
        <v>137</v>
      </c>
      <c r="D11" s="233">
        <v>2</v>
      </c>
      <c r="E11" s="433">
        <v>217.0163</v>
      </c>
      <c r="F11" s="233"/>
      <c r="G11" s="233"/>
      <c r="H11" s="22"/>
      <c r="I11" s="22"/>
      <c r="J11" s="230">
        <v>27</v>
      </c>
      <c r="K11" s="230" t="s">
        <v>88</v>
      </c>
      <c r="L11" s="233">
        <v>2</v>
      </c>
      <c r="M11" s="433">
        <v>158.53909999999999</v>
      </c>
      <c r="N11" s="233"/>
      <c r="O11" s="233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</row>
    <row r="12" spans="1:66" ht="20.100000000000001" customHeight="1" x14ac:dyDescent="0.25">
      <c r="A12" s="22"/>
      <c r="B12" s="230"/>
      <c r="C12" s="230">
        <v>200</v>
      </c>
      <c r="D12" s="433">
        <f>(E12*D11)/E11</f>
        <v>0.98255292344399936</v>
      </c>
      <c r="E12" s="433">
        <v>106.61499999999999</v>
      </c>
      <c r="F12" s="434" t="s">
        <v>78</v>
      </c>
      <c r="G12" s="435">
        <f>C12-D12</f>
        <v>199.01744707655601</v>
      </c>
      <c r="H12" s="22"/>
      <c r="I12" s="22"/>
      <c r="J12" s="230"/>
      <c r="K12" s="230">
        <v>196</v>
      </c>
      <c r="L12" s="433">
        <f>(M12*L11)/M11</f>
        <v>0.8036667295323362</v>
      </c>
      <c r="M12" s="433">
        <v>63.706299999999999</v>
      </c>
      <c r="N12" s="434" t="s">
        <v>78</v>
      </c>
      <c r="O12" s="435">
        <f>K12+L12</f>
        <v>196.80366672953232</v>
      </c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</row>
    <row r="13" spans="1:66" ht="15.75" x14ac:dyDescent="0.25">
      <c r="A13" s="571"/>
      <c r="B13" s="571"/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  <c r="P13" s="571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</row>
    <row r="14" spans="1:66" ht="15.75" x14ac:dyDescent="0.25">
      <c r="A14" s="22"/>
      <c r="B14" s="570"/>
      <c r="C14" s="570"/>
      <c r="D14" s="230" t="s">
        <v>76</v>
      </c>
      <c r="E14" s="230" t="s">
        <v>77</v>
      </c>
      <c r="F14" s="233"/>
      <c r="G14" s="233"/>
      <c r="H14" s="22"/>
      <c r="I14" s="22"/>
      <c r="J14" s="570"/>
      <c r="K14" s="570"/>
      <c r="L14" s="230" t="s">
        <v>76</v>
      </c>
      <c r="M14" s="230" t="s">
        <v>77</v>
      </c>
      <c r="N14" s="233"/>
      <c r="O14" s="233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</row>
    <row r="15" spans="1:66" ht="15.75" x14ac:dyDescent="0.25">
      <c r="A15" s="22"/>
      <c r="B15" s="230">
        <v>3</v>
      </c>
      <c r="C15" s="230" t="s">
        <v>137</v>
      </c>
      <c r="D15" s="233">
        <v>2</v>
      </c>
      <c r="E15" s="433">
        <v>86.545299999999997</v>
      </c>
      <c r="F15" s="233"/>
      <c r="G15" s="233"/>
      <c r="H15" s="22"/>
      <c r="I15" s="22"/>
      <c r="J15" s="230">
        <v>28</v>
      </c>
      <c r="K15" s="230" t="s">
        <v>89</v>
      </c>
      <c r="L15" s="233">
        <v>2</v>
      </c>
      <c r="M15" s="433">
        <v>116.3488</v>
      </c>
      <c r="N15" s="233"/>
      <c r="O15" s="233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</row>
    <row r="16" spans="1:66" ht="15.75" x14ac:dyDescent="0.25">
      <c r="A16" s="22"/>
      <c r="B16" s="230"/>
      <c r="C16" s="230">
        <v>200</v>
      </c>
      <c r="D16" s="433">
        <f>(E16*D15)/E15</f>
        <v>0.8203403304396657</v>
      </c>
      <c r="E16" s="433">
        <v>35.4983</v>
      </c>
      <c r="F16" s="434" t="s">
        <v>78</v>
      </c>
      <c r="G16" s="435">
        <f>C16-D16</f>
        <v>199.17965966956032</v>
      </c>
      <c r="H16" s="22"/>
      <c r="I16" s="22"/>
      <c r="J16" s="230"/>
      <c r="K16" s="230">
        <v>194</v>
      </c>
      <c r="L16" s="433">
        <f>(M16*L15)/M15</f>
        <v>0.7043510547594819</v>
      </c>
      <c r="M16" s="433">
        <v>40.975200000000001</v>
      </c>
      <c r="N16" s="434" t="s">
        <v>78</v>
      </c>
      <c r="O16" s="435">
        <f>K16-L16</f>
        <v>193.29564894524052</v>
      </c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</row>
    <row r="17" spans="1:66" ht="15.75" x14ac:dyDescent="0.25">
      <c r="A17" s="571"/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</row>
    <row r="18" spans="1:66" ht="15.75" x14ac:dyDescent="0.25">
      <c r="A18" s="22"/>
      <c r="B18" s="570"/>
      <c r="C18" s="570"/>
      <c r="D18" s="230" t="s">
        <v>76</v>
      </c>
      <c r="E18" s="230" t="s">
        <v>77</v>
      </c>
      <c r="F18" s="233"/>
      <c r="G18" s="233"/>
      <c r="H18" s="22"/>
      <c r="I18" s="22"/>
      <c r="J18" s="570"/>
      <c r="K18" s="570"/>
      <c r="L18" s="230" t="s">
        <v>76</v>
      </c>
      <c r="M18" s="230" t="s">
        <v>77</v>
      </c>
      <c r="N18" s="233"/>
      <c r="O18" s="233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</row>
    <row r="19" spans="1:66" ht="15.75" x14ac:dyDescent="0.25">
      <c r="A19" s="22"/>
      <c r="B19" s="230">
        <v>4</v>
      </c>
      <c r="C19" s="230" t="s">
        <v>140</v>
      </c>
      <c r="D19" s="233">
        <v>2</v>
      </c>
      <c r="E19" s="433">
        <v>32.445</v>
      </c>
      <c r="F19" s="233"/>
      <c r="G19" s="233"/>
      <c r="H19" s="22"/>
      <c r="I19" s="22"/>
      <c r="J19" s="230">
        <v>29</v>
      </c>
      <c r="K19" s="230" t="s">
        <v>89</v>
      </c>
      <c r="L19" s="233">
        <v>2</v>
      </c>
      <c r="M19" s="433">
        <v>116.3886</v>
      </c>
      <c r="N19" s="233"/>
      <c r="O19" s="233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</row>
    <row r="20" spans="1:66" ht="15.75" x14ac:dyDescent="0.25">
      <c r="A20" s="22"/>
      <c r="B20" s="230"/>
      <c r="C20" s="230">
        <v>202</v>
      </c>
      <c r="D20" s="433">
        <f>(E20*D19)/E19</f>
        <v>1.8430328247803975</v>
      </c>
      <c r="E20" s="433">
        <v>29.898599999999998</v>
      </c>
      <c r="F20" s="434" t="s">
        <v>78</v>
      </c>
      <c r="G20" s="435">
        <f>C20-D20</f>
        <v>200.15696717521959</v>
      </c>
      <c r="H20" s="22"/>
      <c r="I20" s="22"/>
      <c r="J20" s="230"/>
      <c r="K20" s="230">
        <v>194</v>
      </c>
      <c r="L20" s="433">
        <f>(M20*L19)/M19</f>
        <v>0.7228886677904881</v>
      </c>
      <c r="M20" s="433">
        <v>42.067999999999998</v>
      </c>
      <c r="N20" s="434" t="s">
        <v>78</v>
      </c>
      <c r="O20" s="435">
        <f>K20-L20</f>
        <v>193.2771113322095</v>
      </c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</row>
    <row r="21" spans="1:66" ht="15.75" x14ac:dyDescent="0.25">
      <c r="A21" s="571"/>
      <c r="B21" s="571"/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571"/>
      <c r="P21" s="571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</row>
    <row r="22" spans="1:66" ht="15.75" x14ac:dyDescent="0.25">
      <c r="A22" s="22"/>
      <c r="B22" s="570"/>
      <c r="C22" s="570"/>
      <c r="D22" s="230" t="s">
        <v>76</v>
      </c>
      <c r="E22" s="230" t="s">
        <v>77</v>
      </c>
      <c r="F22" s="233"/>
      <c r="G22" s="233"/>
      <c r="H22" s="22"/>
      <c r="I22" s="22"/>
      <c r="J22" s="570"/>
      <c r="K22" s="570"/>
      <c r="L22" s="230" t="s">
        <v>76</v>
      </c>
      <c r="M22" s="230" t="s">
        <v>77</v>
      </c>
      <c r="N22" s="233"/>
      <c r="O22" s="233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</row>
    <row r="23" spans="1:66" ht="15.75" x14ac:dyDescent="0.25">
      <c r="A23" s="22"/>
      <c r="B23" s="230">
        <v>5</v>
      </c>
      <c r="C23" s="230" t="s">
        <v>80</v>
      </c>
      <c r="D23" s="233">
        <v>2</v>
      </c>
      <c r="E23" s="433">
        <v>21.567499999999999</v>
      </c>
      <c r="F23" s="233"/>
      <c r="G23" s="233"/>
      <c r="H23" s="22"/>
      <c r="I23" s="22"/>
      <c r="J23" s="230">
        <v>30</v>
      </c>
      <c r="K23" s="230" t="s">
        <v>91</v>
      </c>
      <c r="L23" s="233">
        <v>2</v>
      </c>
      <c r="M23" s="433">
        <v>30.278600000000001</v>
      </c>
      <c r="N23" s="233"/>
      <c r="O23" s="233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</row>
    <row r="24" spans="1:66" ht="15.75" x14ac:dyDescent="0.25">
      <c r="A24" s="22"/>
      <c r="B24" s="230"/>
      <c r="C24" s="230">
        <v>204</v>
      </c>
      <c r="D24" s="433">
        <f>(E24*D23)/E23</f>
        <v>0.29112321780456707</v>
      </c>
      <c r="E24" s="433">
        <v>3.1394000000000002</v>
      </c>
      <c r="F24" s="434" t="s">
        <v>78</v>
      </c>
      <c r="G24" s="435">
        <f>C24-D24</f>
        <v>203.70887678219543</v>
      </c>
      <c r="H24" s="22"/>
      <c r="I24" s="22"/>
      <c r="J24" s="230"/>
      <c r="K24" s="230">
        <v>192</v>
      </c>
      <c r="L24" s="433">
        <f>(M24*L23)/M23</f>
        <v>5.2320781013653207E-2</v>
      </c>
      <c r="M24" s="433">
        <v>0.79210000000000003</v>
      </c>
      <c r="N24" s="434" t="s">
        <v>78</v>
      </c>
      <c r="O24" s="435">
        <f>K24+L24</f>
        <v>192.05232078101366</v>
      </c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</row>
    <row r="25" spans="1:66" ht="15.75" x14ac:dyDescent="0.25">
      <c r="A25" s="571"/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71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</row>
    <row r="26" spans="1:66" ht="15.75" x14ac:dyDescent="0.25">
      <c r="A26" s="22"/>
      <c r="B26" s="570"/>
      <c r="C26" s="570"/>
      <c r="D26" s="230" t="s">
        <v>76</v>
      </c>
      <c r="E26" s="230" t="s">
        <v>77</v>
      </c>
      <c r="F26" s="233"/>
      <c r="G26" s="233"/>
      <c r="H26" s="22"/>
      <c r="I26" s="22"/>
      <c r="J26" s="570"/>
      <c r="K26" s="570"/>
      <c r="L26" s="230" t="s">
        <v>76</v>
      </c>
      <c r="M26" s="230" t="s">
        <v>77</v>
      </c>
      <c r="N26" s="233"/>
      <c r="O26" s="233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</row>
    <row r="27" spans="1:66" ht="15.75" x14ac:dyDescent="0.25">
      <c r="A27" s="22"/>
      <c r="B27" s="230">
        <v>6</v>
      </c>
      <c r="C27" s="230" t="s">
        <v>80</v>
      </c>
      <c r="D27" s="233">
        <v>2</v>
      </c>
      <c r="E27" s="433">
        <v>20.797799999999999</v>
      </c>
      <c r="F27" s="233"/>
      <c r="G27" s="233"/>
      <c r="H27" s="22"/>
      <c r="I27" s="22"/>
      <c r="J27" s="230">
        <v>31</v>
      </c>
      <c r="K27" s="230" t="s">
        <v>90</v>
      </c>
      <c r="L27" s="233">
        <v>2</v>
      </c>
      <c r="M27" s="433">
        <v>35.124200000000002</v>
      </c>
      <c r="N27" s="233"/>
      <c r="O27" s="233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</row>
    <row r="28" spans="1:66" ht="15.75" x14ac:dyDescent="0.25">
      <c r="A28" s="22"/>
      <c r="B28" s="230"/>
      <c r="C28" s="230">
        <v>204</v>
      </c>
      <c r="D28" s="433">
        <f>(E28*D27)/E27</f>
        <v>0.73985710027022089</v>
      </c>
      <c r="E28" s="433">
        <v>7.6936999999999998</v>
      </c>
      <c r="F28" s="434" t="s">
        <v>78</v>
      </c>
      <c r="G28" s="435">
        <f>C28-D28</f>
        <v>203.26014289972977</v>
      </c>
      <c r="H28" s="22"/>
      <c r="I28" s="22"/>
      <c r="J28" s="230"/>
      <c r="K28" s="230">
        <v>192</v>
      </c>
      <c r="L28" s="433">
        <f>(M28*L27)/M27</f>
        <v>4.342874713160727E-2</v>
      </c>
      <c r="M28" s="433">
        <v>0.76270000000000004</v>
      </c>
      <c r="N28" s="434" t="s">
        <v>78</v>
      </c>
      <c r="O28" s="435">
        <f>K28-L28</f>
        <v>191.9565712528684</v>
      </c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</row>
    <row r="29" spans="1:66" ht="15.75" x14ac:dyDescent="0.25">
      <c r="A29" s="571"/>
      <c r="B29" s="571"/>
      <c r="C29" s="571"/>
      <c r="D29" s="571"/>
      <c r="E29" s="571"/>
      <c r="F29" s="571"/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</row>
    <row r="30" spans="1:66" ht="15.75" x14ac:dyDescent="0.25">
      <c r="A30" s="22"/>
      <c r="B30" s="570"/>
      <c r="C30" s="570"/>
      <c r="D30" s="230" t="s">
        <v>76</v>
      </c>
      <c r="E30" s="230" t="s">
        <v>77</v>
      </c>
      <c r="F30" s="233"/>
      <c r="G30" s="233"/>
      <c r="H30" s="22"/>
      <c r="I30" s="22"/>
      <c r="J30" s="570"/>
      <c r="K30" s="570"/>
      <c r="L30" s="230" t="s">
        <v>76</v>
      </c>
      <c r="M30" s="230" t="s">
        <v>77</v>
      </c>
      <c r="N30" s="233"/>
      <c r="O30" s="233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</row>
    <row r="31" spans="1:66" ht="15.75" x14ac:dyDescent="0.25">
      <c r="A31" s="22"/>
      <c r="B31" s="230">
        <v>7</v>
      </c>
      <c r="C31" s="230">
        <v>200</v>
      </c>
      <c r="D31" s="233">
        <v>0</v>
      </c>
      <c r="E31" s="433">
        <v>200</v>
      </c>
      <c r="F31" s="233"/>
      <c r="G31" s="233"/>
      <c r="H31" s="22"/>
      <c r="I31" s="22"/>
      <c r="J31" s="230">
        <v>32</v>
      </c>
      <c r="K31" s="230" t="s">
        <v>87</v>
      </c>
      <c r="L31" s="233">
        <v>2</v>
      </c>
      <c r="M31" s="433">
        <v>69.570700000000002</v>
      </c>
      <c r="N31" s="233"/>
      <c r="O31" s="233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</row>
    <row r="32" spans="1:66" ht="15.75" x14ac:dyDescent="0.25">
      <c r="A32" s="22"/>
      <c r="B32" s="230"/>
      <c r="C32" s="230">
        <v>200</v>
      </c>
      <c r="D32" s="433">
        <v>0</v>
      </c>
      <c r="E32" s="433">
        <v>0</v>
      </c>
      <c r="F32" s="434" t="s">
        <v>78</v>
      </c>
      <c r="G32" s="435">
        <f>C32-D32</f>
        <v>200</v>
      </c>
      <c r="H32" s="22"/>
      <c r="I32" s="22"/>
      <c r="J32" s="230"/>
      <c r="K32" s="230">
        <v>190</v>
      </c>
      <c r="L32" s="433">
        <f>(M32*L31)/M31</f>
        <v>1.2375928372145171</v>
      </c>
      <c r="M32" s="433">
        <v>43.0501</v>
      </c>
      <c r="N32" s="434" t="s">
        <v>78</v>
      </c>
      <c r="O32" s="435">
        <f>K32+L32</f>
        <v>191.23759283721452</v>
      </c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</row>
    <row r="33" spans="1:66" ht="15.75" x14ac:dyDescent="0.25">
      <c r="A33" s="571"/>
      <c r="B33" s="571"/>
      <c r="C33" s="571"/>
      <c r="D33" s="571"/>
      <c r="E33" s="571"/>
      <c r="F33" s="571"/>
      <c r="G33" s="571"/>
      <c r="H33" s="571"/>
      <c r="I33" s="571"/>
      <c r="J33" s="571"/>
      <c r="K33" s="571"/>
      <c r="L33" s="571"/>
      <c r="M33" s="571"/>
      <c r="N33" s="571"/>
      <c r="O33" s="571"/>
      <c r="P33" s="571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</row>
    <row r="34" spans="1:66" ht="15.75" x14ac:dyDescent="0.25">
      <c r="A34" s="22"/>
      <c r="B34" s="570"/>
      <c r="C34" s="570"/>
      <c r="D34" s="230" t="s">
        <v>76</v>
      </c>
      <c r="E34" s="230" t="s">
        <v>77</v>
      </c>
      <c r="F34" s="233"/>
      <c r="G34" s="233"/>
      <c r="H34" s="22"/>
      <c r="I34" s="22"/>
      <c r="J34" s="570"/>
      <c r="K34" s="570"/>
      <c r="L34" s="230" t="s">
        <v>76</v>
      </c>
      <c r="M34" s="230" t="s">
        <v>77</v>
      </c>
      <c r="N34" s="233"/>
      <c r="O34" s="233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</row>
    <row r="35" spans="1:66" ht="15.75" x14ac:dyDescent="0.25">
      <c r="A35" s="22"/>
      <c r="B35" s="230">
        <v>8</v>
      </c>
      <c r="C35" s="230" t="s">
        <v>137</v>
      </c>
      <c r="D35" s="233">
        <v>2</v>
      </c>
      <c r="E35" s="433">
        <v>163.37780000000001</v>
      </c>
      <c r="F35" s="233"/>
      <c r="G35" s="233"/>
      <c r="H35" s="22"/>
      <c r="I35" s="22"/>
      <c r="J35" s="230">
        <v>33</v>
      </c>
      <c r="K35" s="230" t="s">
        <v>87</v>
      </c>
      <c r="L35" s="233">
        <v>2</v>
      </c>
      <c r="M35" s="433">
        <v>67.805700000000002</v>
      </c>
      <c r="N35" s="233"/>
      <c r="O35" s="233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</row>
    <row r="36" spans="1:66" ht="15.75" x14ac:dyDescent="0.25">
      <c r="A36" s="22"/>
      <c r="B36" s="230"/>
      <c r="C36" s="230">
        <v>200</v>
      </c>
      <c r="D36" s="433">
        <f>(E36*D35)/E35</f>
        <v>3.4047465445121675E-2</v>
      </c>
      <c r="E36" s="433">
        <v>2.7812999999999999</v>
      </c>
      <c r="F36" s="434" t="s">
        <v>78</v>
      </c>
      <c r="G36" s="435">
        <f>C36-D36</f>
        <v>199.96595253455487</v>
      </c>
      <c r="H36" s="22"/>
      <c r="I36" s="22"/>
      <c r="J36" s="230"/>
      <c r="K36" s="230">
        <v>190</v>
      </c>
      <c r="L36" s="433">
        <f>(M36*L35)/M35</f>
        <v>1.2562483684999934</v>
      </c>
      <c r="M36" s="433">
        <v>42.590400000000002</v>
      </c>
      <c r="N36" s="434" t="s">
        <v>78</v>
      </c>
      <c r="O36" s="435">
        <f>K36+L36</f>
        <v>191.2562483685</v>
      </c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</row>
    <row r="37" spans="1:66" ht="15.75" x14ac:dyDescent="0.25">
      <c r="A37" s="571"/>
      <c r="B37" s="571"/>
      <c r="C37" s="571"/>
      <c r="D37" s="571"/>
      <c r="E37" s="571"/>
      <c r="F37" s="571"/>
      <c r="G37" s="571"/>
      <c r="H37" s="571"/>
      <c r="I37" s="571"/>
      <c r="J37" s="571"/>
      <c r="K37" s="571"/>
      <c r="L37" s="571"/>
      <c r="M37" s="571"/>
      <c r="N37" s="571"/>
      <c r="O37" s="571"/>
      <c r="P37" s="571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</row>
    <row r="38" spans="1:66" ht="15.75" x14ac:dyDescent="0.25">
      <c r="A38" s="22"/>
      <c r="B38" s="570"/>
      <c r="C38" s="570"/>
      <c r="D38" s="230" t="s">
        <v>76</v>
      </c>
      <c r="E38" s="230" t="s">
        <v>77</v>
      </c>
      <c r="F38" s="233"/>
      <c r="G38" s="233"/>
      <c r="H38" s="22"/>
      <c r="I38" s="22"/>
      <c r="J38" s="570"/>
      <c r="K38" s="570"/>
      <c r="L38" s="230" t="s">
        <v>76</v>
      </c>
      <c r="M38" s="230" t="s">
        <v>77</v>
      </c>
      <c r="N38" s="233"/>
      <c r="O38" s="233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</row>
    <row r="39" spans="1:66" ht="15.75" x14ac:dyDescent="0.25">
      <c r="A39" s="22"/>
      <c r="B39" s="230">
        <v>9</v>
      </c>
      <c r="C39" s="230" t="s">
        <v>137</v>
      </c>
      <c r="D39" s="233">
        <v>2</v>
      </c>
      <c r="E39" s="433">
        <v>57.963000000000001</v>
      </c>
      <c r="F39" s="233"/>
      <c r="G39" s="233"/>
      <c r="H39" s="22"/>
      <c r="I39" s="22"/>
      <c r="J39" s="230">
        <v>34</v>
      </c>
      <c r="K39" s="230" t="s">
        <v>90</v>
      </c>
      <c r="L39" s="233">
        <v>2</v>
      </c>
      <c r="M39" s="433">
        <v>80.413899999999998</v>
      </c>
      <c r="N39" s="233"/>
      <c r="O39" s="233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</row>
    <row r="40" spans="1:66" ht="15.75" x14ac:dyDescent="0.25">
      <c r="A40" s="22"/>
      <c r="B40" s="230"/>
      <c r="C40" s="230">
        <v>200</v>
      </c>
      <c r="D40" s="433">
        <f>(E40*D39)/E39</f>
        <v>1.6925176405638078</v>
      </c>
      <c r="E40" s="433">
        <v>49.051699999999997</v>
      </c>
      <c r="F40" s="434" t="s">
        <v>78</v>
      </c>
      <c r="G40" s="435">
        <f>C40-D40</f>
        <v>198.30748235943619</v>
      </c>
      <c r="H40" s="22"/>
      <c r="I40" s="22"/>
      <c r="J40" s="230"/>
      <c r="K40" s="230">
        <v>192</v>
      </c>
      <c r="L40" s="433">
        <f>(M40*L39)/M39</f>
        <v>1.1087063306219447</v>
      </c>
      <c r="M40" s="433">
        <v>44.5777</v>
      </c>
      <c r="N40" s="434" t="s">
        <v>78</v>
      </c>
      <c r="O40" s="435">
        <f>K40-L40</f>
        <v>190.89129366937806</v>
      </c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</row>
    <row r="41" spans="1:66" ht="15.75" x14ac:dyDescent="0.25">
      <c r="A41" s="571"/>
      <c r="B41" s="571"/>
      <c r="C41" s="571"/>
      <c r="D41" s="571"/>
      <c r="E41" s="571"/>
      <c r="F41" s="571"/>
      <c r="G41" s="571"/>
      <c r="H41" s="571"/>
      <c r="I41" s="571"/>
      <c r="J41" s="571"/>
      <c r="K41" s="571"/>
      <c r="L41" s="571"/>
      <c r="M41" s="571"/>
      <c r="N41" s="571"/>
      <c r="O41" s="571"/>
      <c r="P41" s="571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</row>
    <row r="42" spans="1:66" ht="15.75" x14ac:dyDescent="0.25">
      <c r="A42" s="22"/>
      <c r="B42" s="570"/>
      <c r="C42" s="570"/>
      <c r="D42" s="230" t="s">
        <v>76</v>
      </c>
      <c r="E42" s="230" t="s">
        <v>77</v>
      </c>
      <c r="F42" s="233"/>
      <c r="G42" s="233"/>
      <c r="H42" s="22"/>
      <c r="I42" s="22"/>
      <c r="J42" s="570"/>
      <c r="K42" s="570"/>
      <c r="L42" s="230" t="s">
        <v>76</v>
      </c>
      <c r="M42" s="230" t="s">
        <v>77</v>
      </c>
      <c r="N42" s="233"/>
      <c r="O42" s="233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</row>
    <row r="43" spans="1:66" ht="15.75" x14ac:dyDescent="0.25">
      <c r="A43" s="22"/>
      <c r="B43" s="230">
        <v>10</v>
      </c>
      <c r="C43" s="230" t="s">
        <v>137</v>
      </c>
      <c r="D43" s="233">
        <v>2</v>
      </c>
      <c r="E43" s="433">
        <v>59.738100000000003</v>
      </c>
      <c r="F43" s="233"/>
      <c r="G43" s="233"/>
      <c r="H43" s="22"/>
      <c r="I43" s="22"/>
      <c r="J43" s="230">
        <v>35</v>
      </c>
      <c r="K43" s="230" t="s">
        <v>90</v>
      </c>
      <c r="L43" s="233">
        <v>2</v>
      </c>
      <c r="M43" s="433">
        <v>81.072500000000005</v>
      </c>
      <c r="N43" s="233"/>
      <c r="O43" s="233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</row>
    <row r="44" spans="1:66" ht="15.75" x14ac:dyDescent="0.25">
      <c r="A44" s="22"/>
      <c r="B44" s="230"/>
      <c r="C44" s="230">
        <v>200</v>
      </c>
      <c r="D44" s="433">
        <f>(E44*D43)/E43</f>
        <v>1.69409807141506</v>
      </c>
      <c r="E44" s="433">
        <v>50.601100000000002</v>
      </c>
      <c r="F44" s="434" t="s">
        <v>78</v>
      </c>
      <c r="G44" s="435">
        <f>C44-D44</f>
        <v>198.30590192858494</v>
      </c>
      <c r="H44" s="22"/>
      <c r="I44" s="22"/>
      <c r="J44" s="230"/>
      <c r="K44" s="230">
        <v>192</v>
      </c>
      <c r="L44" s="433">
        <f>(M44*L43)/M43</f>
        <v>1.1244355360942364</v>
      </c>
      <c r="M44" s="433">
        <v>45.580399999999997</v>
      </c>
      <c r="N44" s="434" t="s">
        <v>78</v>
      </c>
      <c r="O44" s="435">
        <f>K44-L44</f>
        <v>190.87556446390576</v>
      </c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</row>
    <row r="45" spans="1:66" ht="15.75" x14ac:dyDescent="0.25">
      <c r="A45" s="571"/>
      <c r="B45" s="571"/>
      <c r="C45" s="571"/>
      <c r="D45" s="571"/>
      <c r="E45" s="571"/>
      <c r="F45" s="571"/>
      <c r="G45" s="571"/>
      <c r="H45" s="571"/>
      <c r="I45" s="22"/>
      <c r="J45" s="262"/>
      <c r="K45" s="262"/>
      <c r="L45" s="130"/>
      <c r="M45" s="130"/>
      <c r="N45" s="51"/>
      <c r="O45" s="130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</row>
    <row r="46" spans="1:66" ht="15.75" x14ac:dyDescent="0.25">
      <c r="A46" s="22"/>
      <c r="B46" s="570"/>
      <c r="C46" s="570"/>
      <c r="D46" s="230" t="s">
        <v>76</v>
      </c>
      <c r="E46" s="230" t="s">
        <v>77</v>
      </c>
      <c r="F46" s="233"/>
      <c r="G46" s="233"/>
      <c r="H46" s="22"/>
      <c r="I46" s="22"/>
      <c r="J46" s="570"/>
      <c r="K46" s="570"/>
      <c r="L46" s="230" t="s">
        <v>76</v>
      </c>
      <c r="M46" s="230" t="s">
        <v>77</v>
      </c>
      <c r="N46" s="233"/>
      <c r="O46" s="233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</row>
    <row r="47" spans="1:66" ht="15.75" x14ac:dyDescent="0.25">
      <c r="A47" s="22"/>
      <c r="B47" s="230">
        <v>11</v>
      </c>
      <c r="C47" s="230" t="s">
        <v>82</v>
      </c>
      <c r="D47" s="233">
        <v>2</v>
      </c>
      <c r="E47" s="433">
        <v>55.506799999999998</v>
      </c>
      <c r="F47" s="233"/>
      <c r="G47" s="233"/>
      <c r="H47" s="22"/>
      <c r="I47" s="22"/>
      <c r="J47" s="230">
        <v>36</v>
      </c>
      <c r="K47" s="230" t="s">
        <v>90</v>
      </c>
      <c r="L47" s="233">
        <v>2</v>
      </c>
      <c r="M47" s="433">
        <v>82.697599999999994</v>
      </c>
      <c r="N47" s="233"/>
      <c r="O47" s="233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</row>
    <row r="48" spans="1:66" ht="15.75" x14ac:dyDescent="0.25">
      <c r="A48" s="22"/>
      <c r="B48" s="230"/>
      <c r="C48" s="230">
        <v>198</v>
      </c>
      <c r="D48" s="433">
        <f>(E48*D47)/E47</f>
        <v>1.544232418370362</v>
      </c>
      <c r="E48" s="433">
        <v>42.857700000000001</v>
      </c>
      <c r="F48" s="434" t="s">
        <v>78</v>
      </c>
      <c r="G48" s="435">
        <f>C48+D48</f>
        <v>199.54423241837037</v>
      </c>
      <c r="H48" s="22"/>
      <c r="I48" s="22"/>
      <c r="J48" s="230"/>
      <c r="K48" s="230">
        <v>192</v>
      </c>
      <c r="L48" s="433">
        <f>(M48*L47)/M47</f>
        <v>1.4643278644120266</v>
      </c>
      <c r="M48" s="433">
        <v>60.548200000000001</v>
      </c>
      <c r="N48" s="434" t="s">
        <v>78</v>
      </c>
      <c r="O48" s="435">
        <f>K48-L48</f>
        <v>190.53567213558799</v>
      </c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</row>
    <row r="49" spans="1:66" ht="15.75" x14ac:dyDescent="0.25">
      <c r="A49" s="571"/>
      <c r="B49" s="571"/>
      <c r="C49" s="571"/>
      <c r="D49" s="571"/>
      <c r="E49" s="571"/>
      <c r="F49" s="571"/>
      <c r="G49" s="571"/>
      <c r="H49" s="571"/>
      <c r="I49" s="22"/>
      <c r="J49" s="262"/>
      <c r="K49" s="262"/>
      <c r="L49" s="130"/>
      <c r="M49" s="130"/>
      <c r="N49" s="51"/>
      <c r="O49" s="130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</row>
    <row r="50" spans="1:66" ht="15.75" x14ac:dyDescent="0.25">
      <c r="A50" s="22"/>
      <c r="B50" s="570"/>
      <c r="C50" s="570"/>
      <c r="D50" s="230" t="s">
        <v>76</v>
      </c>
      <c r="E50" s="230" t="s">
        <v>77</v>
      </c>
      <c r="F50" s="233"/>
      <c r="G50" s="233"/>
      <c r="H50" s="22"/>
      <c r="I50" s="22"/>
      <c r="J50" s="570"/>
      <c r="K50" s="570"/>
      <c r="L50" s="230" t="s">
        <v>76</v>
      </c>
      <c r="M50" s="230" t="s">
        <v>77</v>
      </c>
      <c r="N50" s="233"/>
      <c r="O50" s="233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</row>
    <row r="51" spans="1:66" ht="15.75" x14ac:dyDescent="0.25">
      <c r="A51" s="22"/>
      <c r="B51" s="230">
        <v>12</v>
      </c>
      <c r="C51" s="230" t="s">
        <v>82</v>
      </c>
      <c r="D51" s="233">
        <v>2</v>
      </c>
      <c r="E51" s="433">
        <v>54.780299999999997</v>
      </c>
      <c r="F51" s="233"/>
      <c r="G51" s="233"/>
      <c r="H51" s="22"/>
      <c r="I51" s="22"/>
      <c r="J51" s="230">
        <v>37</v>
      </c>
      <c r="K51" s="230" t="s">
        <v>90</v>
      </c>
      <c r="L51" s="233">
        <v>2</v>
      </c>
      <c r="M51" s="433">
        <v>84.894499999999994</v>
      </c>
      <c r="N51" s="233"/>
      <c r="O51" s="233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</row>
    <row r="52" spans="1:66" ht="15.75" x14ac:dyDescent="0.25">
      <c r="A52" s="22"/>
      <c r="B52" s="230"/>
      <c r="C52" s="230">
        <v>198</v>
      </c>
      <c r="D52" s="433">
        <f>(E52*D51)/E51</f>
        <v>1.6548576769386076</v>
      </c>
      <c r="E52" s="433">
        <v>45.326799999999999</v>
      </c>
      <c r="F52" s="434" t="s">
        <v>78</v>
      </c>
      <c r="G52" s="435">
        <f>C52+D52</f>
        <v>199.6548576769386</v>
      </c>
      <c r="H52" s="22"/>
      <c r="I52" s="22"/>
      <c r="J52" s="230"/>
      <c r="K52" s="230">
        <v>192</v>
      </c>
      <c r="L52" s="433">
        <f>(M52*L51)/M51</f>
        <v>1.5019418219083689</v>
      </c>
      <c r="M52" s="433">
        <v>63.753300000000003</v>
      </c>
      <c r="N52" s="434" t="s">
        <v>78</v>
      </c>
      <c r="O52" s="435">
        <f>K52-L52</f>
        <v>190.49805817809164</v>
      </c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</row>
    <row r="53" spans="1:66" ht="15.75" x14ac:dyDescent="0.25">
      <c r="A53" s="571"/>
      <c r="B53" s="571"/>
      <c r="C53" s="571"/>
      <c r="D53" s="571"/>
      <c r="E53" s="571"/>
      <c r="F53" s="571"/>
      <c r="G53" s="571"/>
      <c r="H53" s="57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</row>
    <row r="54" spans="1:66" ht="15.75" x14ac:dyDescent="0.25">
      <c r="A54" s="22"/>
      <c r="B54" s="570"/>
      <c r="C54" s="570"/>
      <c r="D54" s="230" t="s">
        <v>76</v>
      </c>
      <c r="E54" s="230" t="s">
        <v>77</v>
      </c>
      <c r="F54" s="233"/>
      <c r="G54" s="233"/>
      <c r="H54" s="22"/>
      <c r="I54" s="22"/>
      <c r="J54" s="570"/>
      <c r="K54" s="570"/>
      <c r="L54" s="230" t="s">
        <v>76</v>
      </c>
      <c r="M54" s="230" t="s">
        <v>77</v>
      </c>
      <c r="N54" s="233"/>
      <c r="O54" s="233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</row>
    <row r="55" spans="1:66" ht="15.75" x14ac:dyDescent="0.25">
      <c r="A55" s="22"/>
      <c r="B55" s="230">
        <v>13</v>
      </c>
      <c r="C55" s="230" t="s">
        <v>83</v>
      </c>
      <c r="D55" s="233">
        <v>2</v>
      </c>
      <c r="E55" s="433">
        <v>24.925799999999999</v>
      </c>
      <c r="F55" s="233"/>
      <c r="G55" s="233"/>
      <c r="H55" s="22"/>
      <c r="I55" s="22"/>
      <c r="J55" s="230">
        <v>38</v>
      </c>
      <c r="K55" s="230" t="s">
        <v>89</v>
      </c>
      <c r="L55" s="233">
        <v>2</v>
      </c>
      <c r="M55" s="433">
        <v>37.921999999999997</v>
      </c>
      <c r="N55" s="233"/>
      <c r="O55" s="233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</row>
    <row r="56" spans="1:66" ht="15.75" x14ac:dyDescent="0.25">
      <c r="A56" s="22"/>
      <c r="B56" s="230"/>
      <c r="C56" s="230">
        <v>198</v>
      </c>
      <c r="D56" s="433">
        <f>(E56*D55)/E55</f>
        <v>1.1441478307617008</v>
      </c>
      <c r="E56" s="433">
        <v>14.259399999999999</v>
      </c>
      <c r="F56" s="434" t="s">
        <v>78</v>
      </c>
      <c r="G56" s="435">
        <f>C56-D56</f>
        <v>196.85585216923829</v>
      </c>
      <c r="H56" s="22"/>
      <c r="I56" s="22"/>
      <c r="J56" s="230"/>
      <c r="K56" s="230">
        <v>194</v>
      </c>
      <c r="L56" s="433">
        <f>(M56*L55)/M55</f>
        <v>0.26694267180001058</v>
      </c>
      <c r="M56" s="433">
        <v>5.0614999999999997</v>
      </c>
      <c r="N56" s="434" t="s">
        <v>78</v>
      </c>
      <c r="O56" s="435">
        <f>K56-L56</f>
        <v>193.73305732819998</v>
      </c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</row>
    <row r="57" spans="1:66" ht="15.75" x14ac:dyDescent="0.25">
      <c r="A57" s="571"/>
      <c r="B57" s="571"/>
      <c r="C57" s="571"/>
      <c r="D57" s="571"/>
      <c r="E57" s="571"/>
      <c r="F57" s="571"/>
      <c r="G57" s="571"/>
      <c r="H57" s="57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</row>
    <row r="58" spans="1:66" ht="15.75" x14ac:dyDescent="0.25">
      <c r="A58" s="22"/>
      <c r="B58" s="570"/>
      <c r="C58" s="570"/>
      <c r="D58" s="230" t="s">
        <v>76</v>
      </c>
      <c r="E58" s="230" t="s">
        <v>77</v>
      </c>
      <c r="F58" s="233"/>
      <c r="G58" s="233"/>
      <c r="H58" s="22"/>
      <c r="I58" s="22"/>
      <c r="J58" s="570"/>
      <c r="K58" s="570"/>
      <c r="L58" s="230" t="s">
        <v>76</v>
      </c>
      <c r="M58" s="230" t="s">
        <v>77</v>
      </c>
      <c r="N58" s="233"/>
      <c r="O58" s="233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</row>
    <row r="59" spans="1:66" ht="15.75" x14ac:dyDescent="0.25">
      <c r="A59" s="22"/>
      <c r="B59" s="230">
        <v>14</v>
      </c>
      <c r="C59" s="230" t="s">
        <v>138</v>
      </c>
      <c r="D59" s="233">
        <v>2</v>
      </c>
      <c r="E59" s="433">
        <v>74.178200000000004</v>
      </c>
      <c r="F59" s="233"/>
      <c r="G59" s="233"/>
      <c r="H59" s="22"/>
      <c r="I59" s="22"/>
      <c r="J59" s="230">
        <v>45</v>
      </c>
      <c r="K59" s="230" t="s">
        <v>89</v>
      </c>
      <c r="L59" s="233">
        <v>2</v>
      </c>
      <c r="M59" s="433">
        <v>39.208300000000001</v>
      </c>
      <c r="N59" s="233"/>
      <c r="O59" s="233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</row>
    <row r="60" spans="1:66" ht="15.75" x14ac:dyDescent="0.25">
      <c r="A60" s="22"/>
      <c r="B60" s="230"/>
      <c r="C60" s="230">
        <v>194</v>
      </c>
      <c r="D60" s="433">
        <f>(E60*D59)/E59</f>
        <v>0.48641514622894599</v>
      </c>
      <c r="E60" s="433">
        <v>18.040700000000001</v>
      </c>
      <c r="F60" s="434" t="s">
        <v>78</v>
      </c>
      <c r="G60" s="435">
        <f>C60+D60</f>
        <v>194.48641514622895</v>
      </c>
      <c r="H60" s="22"/>
      <c r="I60" s="22"/>
      <c r="J60" s="230"/>
      <c r="K60" s="230">
        <v>194</v>
      </c>
      <c r="L60" s="433">
        <f>(M60*L59)/M59</f>
        <v>0.15605879367378847</v>
      </c>
      <c r="M60" s="433">
        <v>3.0594000000000001</v>
      </c>
      <c r="N60" s="434" t="s">
        <v>78</v>
      </c>
      <c r="O60" s="435">
        <f>K60+L60</f>
        <v>194.15605879367379</v>
      </c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</row>
    <row r="61" spans="1:66" ht="15.75" x14ac:dyDescent="0.25">
      <c r="A61" s="571"/>
      <c r="B61" s="571"/>
      <c r="C61" s="571"/>
      <c r="D61" s="571"/>
      <c r="E61" s="571"/>
      <c r="F61" s="571"/>
      <c r="G61" s="571"/>
      <c r="H61" s="57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</row>
    <row r="62" spans="1:66" ht="15.75" x14ac:dyDescent="0.25">
      <c r="A62" s="22"/>
      <c r="B62" s="570"/>
      <c r="C62" s="570"/>
      <c r="D62" s="230" t="s">
        <v>76</v>
      </c>
      <c r="E62" s="230" t="s">
        <v>77</v>
      </c>
      <c r="F62" s="233"/>
      <c r="G62" s="233"/>
      <c r="H62" s="22"/>
      <c r="I62" s="22"/>
      <c r="J62" s="570"/>
      <c r="K62" s="570"/>
      <c r="L62" s="230" t="s">
        <v>76</v>
      </c>
      <c r="M62" s="230" t="s">
        <v>77</v>
      </c>
      <c r="N62" s="233"/>
      <c r="O62" s="233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</row>
    <row r="63" spans="1:66" ht="15.75" x14ac:dyDescent="0.25">
      <c r="A63" s="22"/>
      <c r="B63" s="230">
        <v>15</v>
      </c>
      <c r="C63" s="230" t="s">
        <v>138</v>
      </c>
      <c r="D63" s="233">
        <v>2</v>
      </c>
      <c r="E63" s="433">
        <v>93.870800000000003</v>
      </c>
      <c r="F63" s="233"/>
      <c r="G63" s="233"/>
      <c r="H63" s="22"/>
      <c r="I63" s="22"/>
      <c r="J63" s="230">
        <v>39</v>
      </c>
      <c r="K63" s="230" t="s">
        <v>90</v>
      </c>
      <c r="L63" s="233">
        <v>2</v>
      </c>
      <c r="M63" s="433">
        <v>122.0626</v>
      </c>
      <c r="N63" s="233"/>
      <c r="O63" s="233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</row>
    <row r="64" spans="1:66" ht="15.75" x14ac:dyDescent="0.25">
      <c r="A64" s="22"/>
      <c r="B64" s="230"/>
      <c r="C64" s="230">
        <v>194</v>
      </c>
      <c r="D64" s="433">
        <f>(E64*D63)/E63</f>
        <v>0.39445706226004251</v>
      </c>
      <c r="E64" s="433">
        <v>18.513999999999999</v>
      </c>
      <c r="F64" s="434" t="s">
        <v>78</v>
      </c>
      <c r="G64" s="435">
        <f>C64+D64</f>
        <v>194.39445706226005</v>
      </c>
      <c r="H64" s="22"/>
      <c r="I64" s="22"/>
      <c r="J64" s="230"/>
      <c r="K64" s="230">
        <v>192</v>
      </c>
      <c r="L64" s="433">
        <f>(M64*L63)/M63</f>
        <v>1.1180312397081495</v>
      </c>
      <c r="M64" s="433">
        <v>68.234899999999996</v>
      </c>
      <c r="N64" s="434" t="s">
        <v>78</v>
      </c>
      <c r="O64" s="435">
        <f>K64-L64</f>
        <v>190.88196876029184</v>
      </c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</row>
    <row r="65" spans="1:66" ht="15.75" x14ac:dyDescent="0.25">
      <c r="A65" s="571"/>
      <c r="B65" s="571"/>
      <c r="C65" s="571"/>
      <c r="D65" s="571"/>
      <c r="E65" s="571"/>
      <c r="F65" s="571"/>
      <c r="G65" s="571"/>
      <c r="H65" s="57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</row>
    <row r="66" spans="1:66" ht="15.75" x14ac:dyDescent="0.25">
      <c r="A66" s="22"/>
      <c r="B66" s="570"/>
      <c r="C66" s="570"/>
      <c r="D66" s="230" t="s">
        <v>76</v>
      </c>
      <c r="E66" s="230" t="s">
        <v>77</v>
      </c>
      <c r="F66" s="233"/>
      <c r="G66" s="233"/>
      <c r="H66" s="22"/>
      <c r="I66" s="22"/>
      <c r="J66" s="570"/>
      <c r="K66" s="570"/>
      <c r="L66" s="230" t="s">
        <v>76</v>
      </c>
      <c r="M66" s="230" t="s">
        <v>77</v>
      </c>
      <c r="N66" s="233"/>
      <c r="O66" s="233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</row>
    <row r="67" spans="1:66" ht="15.75" x14ac:dyDescent="0.25">
      <c r="A67" s="22"/>
      <c r="B67" s="230">
        <v>16</v>
      </c>
      <c r="C67" s="230" t="s">
        <v>91</v>
      </c>
      <c r="D67" s="233">
        <v>2</v>
      </c>
      <c r="E67" s="433">
        <v>103.2432</v>
      </c>
      <c r="F67" s="233"/>
      <c r="G67" s="233"/>
      <c r="H67" s="22"/>
      <c r="I67" s="22"/>
      <c r="J67" s="230">
        <v>40</v>
      </c>
      <c r="K67" s="230" t="s">
        <v>90</v>
      </c>
      <c r="L67" s="233">
        <v>2</v>
      </c>
      <c r="M67" s="433">
        <v>118.9858</v>
      </c>
      <c r="N67" s="233"/>
      <c r="O67" s="233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66" ht="15.75" x14ac:dyDescent="0.25">
      <c r="A68" s="22"/>
      <c r="B68" s="230"/>
      <c r="C68" s="230">
        <v>192</v>
      </c>
      <c r="D68" s="433">
        <f>(E68*D67)/E67</f>
        <v>1.1143649170114835</v>
      </c>
      <c r="E68" s="433">
        <v>57.525300000000001</v>
      </c>
      <c r="F68" s="434" t="s">
        <v>78</v>
      </c>
      <c r="G68" s="435">
        <f>C68+D68</f>
        <v>193.11436491701147</v>
      </c>
      <c r="H68" s="22"/>
      <c r="I68" s="22"/>
      <c r="J68" s="230"/>
      <c r="K68" s="230">
        <v>192</v>
      </c>
      <c r="L68" s="433">
        <f>(M68*L67)/M67</f>
        <v>1.2478060407208256</v>
      </c>
      <c r="M68" s="433">
        <v>74.235600000000005</v>
      </c>
      <c r="N68" s="434" t="s">
        <v>78</v>
      </c>
      <c r="O68" s="435">
        <f>K68-L68</f>
        <v>190.75219395927917</v>
      </c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</row>
    <row r="69" spans="1:66" ht="15.75" x14ac:dyDescent="0.25">
      <c r="A69" s="571"/>
      <c r="B69" s="571"/>
      <c r="C69" s="571"/>
      <c r="D69" s="571"/>
      <c r="E69" s="571"/>
      <c r="F69" s="571"/>
      <c r="G69" s="571"/>
      <c r="H69" s="57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</row>
    <row r="70" spans="1:66" ht="15.75" x14ac:dyDescent="0.25">
      <c r="A70" s="22"/>
      <c r="B70" s="570"/>
      <c r="C70" s="570"/>
      <c r="D70" s="230" t="s">
        <v>76</v>
      </c>
      <c r="E70" s="230" t="s">
        <v>77</v>
      </c>
      <c r="F70" s="233"/>
      <c r="G70" s="233"/>
      <c r="H70" s="22"/>
      <c r="I70" s="22"/>
      <c r="J70" s="570"/>
      <c r="K70" s="570"/>
      <c r="L70" s="230" t="s">
        <v>76</v>
      </c>
      <c r="M70" s="230" t="s">
        <v>77</v>
      </c>
      <c r="N70" s="233"/>
      <c r="O70" s="233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</row>
    <row r="71" spans="1:66" ht="15.75" x14ac:dyDescent="0.25">
      <c r="A71" s="22"/>
      <c r="B71" s="230">
        <v>17</v>
      </c>
      <c r="C71" s="230" t="s">
        <v>84</v>
      </c>
      <c r="D71" s="233">
        <v>2</v>
      </c>
      <c r="E71" s="433">
        <v>31.277899999999999</v>
      </c>
      <c r="F71" s="233"/>
      <c r="G71" s="233"/>
      <c r="H71" s="22"/>
      <c r="I71" s="22"/>
      <c r="J71" s="230">
        <v>41</v>
      </c>
      <c r="K71" s="230" t="s">
        <v>138</v>
      </c>
      <c r="L71" s="233">
        <v>2</v>
      </c>
      <c r="M71" s="433">
        <v>79.762299999999996</v>
      </c>
      <c r="N71" s="233"/>
      <c r="O71" s="233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66" ht="15.75" x14ac:dyDescent="0.25">
      <c r="A72" s="22"/>
      <c r="B72" s="230"/>
      <c r="C72" s="230">
        <v>196</v>
      </c>
      <c r="D72" s="433">
        <f>(E72*D71)/E71</f>
        <v>1.1628593991284581</v>
      </c>
      <c r="E72" s="433">
        <v>18.1859</v>
      </c>
      <c r="F72" s="434" t="s">
        <v>78</v>
      </c>
      <c r="G72" s="435">
        <f>C72-D72</f>
        <v>194.83714060087155</v>
      </c>
      <c r="H72" s="22"/>
      <c r="I72" s="22"/>
      <c r="J72" s="230"/>
      <c r="K72" s="230">
        <v>194</v>
      </c>
      <c r="L72" s="433">
        <f>(M72*L71)/M71</f>
        <v>0.54694260320978705</v>
      </c>
      <c r="M72" s="433">
        <v>21.8127</v>
      </c>
      <c r="N72" s="434" t="s">
        <v>78</v>
      </c>
      <c r="O72" s="435">
        <f>K72+L72</f>
        <v>194.5469426032098</v>
      </c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66" ht="15.75" x14ac:dyDescent="0.25">
      <c r="A73" s="571"/>
      <c r="B73" s="571"/>
      <c r="C73" s="571"/>
      <c r="D73" s="571"/>
      <c r="E73" s="571"/>
      <c r="F73" s="571"/>
      <c r="G73" s="571"/>
      <c r="H73" s="57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66" ht="15.75" x14ac:dyDescent="0.25">
      <c r="A74" s="22"/>
      <c r="B74" s="570"/>
      <c r="C74" s="570"/>
      <c r="D74" s="230" t="s">
        <v>76</v>
      </c>
      <c r="E74" s="230" t="s">
        <v>77</v>
      </c>
      <c r="F74" s="233"/>
      <c r="G74" s="233"/>
      <c r="H74" s="22"/>
      <c r="I74" s="22"/>
      <c r="J74" s="570"/>
      <c r="K74" s="570"/>
      <c r="L74" s="230" t="s">
        <v>76</v>
      </c>
      <c r="M74" s="230" t="s">
        <v>77</v>
      </c>
      <c r="N74" s="233"/>
      <c r="O74" s="233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66" ht="15.75" x14ac:dyDescent="0.25">
      <c r="A75" s="22"/>
      <c r="B75" s="230">
        <v>18</v>
      </c>
      <c r="C75" s="230" t="s">
        <v>84</v>
      </c>
      <c r="D75" s="233">
        <v>2</v>
      </c>
      <c r="E75" s="433">
        <v>28.713200000000001</v>
      </c>
      <c r="F75" s="233"/>
      <c r="G75" s="233"/>
      <c r="H75" s="22"/>
      <c r="I75" s="22"/>
      <c r="J75" s="230">
        <v>42</v>
      </c>
      <c r="K75" s="230" t="s">
        <v>138</v>
      </c>
      <c r="L75" s="233">
        <v>2</v>
      </c>
      <c r="M75" s="433">
        <v>68.377300000000005</v>
      </c>
      <c r="N75" s="233"/>
      <c r="O75" s="233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</row>
    <row r="76" spans="1:66" ht="15.75" x14ac:dyDescent="0.25">
      <c r="A76" s="22"/>
      <c r="B76" s="230"/>
      <c r="C76" s="230">
        <v>196</v>
      </c>
      <c r="D76" s="433">
        <f>(E76*D75)/E75</f>
        <v>1.3883858295139517</v>
      </c>
      <c r="E76" s="433">
        <v>19.932500000000001</v>
      </c>
      <c r="F76" s="434" t="s">
        <v>78</v>
      </c>
      <c r="G76" s="435">
        <f>C76-D76</f>
        <v>194.61161417048604</v>
      </c>
      <c r="H76" s="22"/>
      <c r="I76" s="22"/>
      <c r="J76" s="230"/>
      <c r="K76" s="230">
        <v>194</v>
      </c>
      <c r="L76" s="433">
        <f>(M76*L75)/M75</f>
        <v>0.29522370728297254</v>
      </c>
      <c r="M76" s="433">
        <v>10.093299999999999</v>
      </c>
      <c r="N76" s="434" t="s">
        <v>78</v>
      </c>
      <c r="O76" s="435">
        <f>K76+L76</f>
        <v>194.29522370728299</v>
      </c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</row>
    <row r="77" spans="1:66" ht="15.75" x14ac:dyDescent="0.25">
      <c r="A77" s="571"/>
      <c r="B77" s="571"/>
      <c r="C77" s="571"/>
      <c r="D77" s="571"/>
      <c r="E77" s="571"/>
      <c r="F77" s="571"/>
      <c r="G77" s="571"/>
      <c r="H77" s="57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</row>
    <row r="78" spans="1:66" ht="15.75" x14ac:dyDescent="0.25">
      <c r="A78" s="22"/>
      <c r="B78" s="570"/>
      <c r="C78" s="570"/>
      <c r="D78" s="230" t="s">
        <v>76</v>
      </c>
      <c r="E78" s="230" t="s">
        <v>77</v>
      </c>
      <c r="F78" s="233"/>
      <c r="G78" s="233"/>
      <c r="H78" s="22"/>
      <c r="I78" s="22"/>
      <c r="J78" s="570"/>
      <c r="K78" s="570"/>
      <c r="L78" s="230" t="s">
        <v>76</v>
      </c>
      <c r="M78" s="230" t="s">
        <v>77</v>
      </c>
      <c r="N78" s="233"/>
      <c r="O78" s="233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</row>
    <row r="79" spans="1:66" ht="15.75" x14ac:dyDescent="0.25">
      <c r="A79" s="22"/>
      <c r="B79" s="230">
        <v>19</v>
      </c>
      <c r="C79" s="230" t="s">
        <v>84</v>
      </c>
      <c r="D79" s="233">
        <v>2</v>
      </c>
      <c r="E79" s="433">
        <v>23.257000000000001</v>
      </c>
      <c r="F79" s="233"/>
      <c r="G79" s="233"/>
      <c r="H79" s="22"/>
      <c r="I79" s="22"/>
      <c r="J79" s="230">
        <v>43</v>
      </c>
      <c r="K79" s="230" t="s">
        <v>138</v>
      </c>
      <c r="L79" s="233">
        <v>2</v>
      </c>
      <c r="M79" s="433">
        <v>226.4984</v>
      </c>
      <c r="N79" s="233"/>
      <c r="O79" s="233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</row>
    <row r="80" spans="1:66" ht="15.75" x14ac:dyDescent="0.25">
      <c r="A80" s="22"/>
      <c r="B80" s="230"/>
      <c r="C80" s="230">
        <v>196</v>
      </c>
      <c r="D80" s="433">
        <f>(E80*D79)/E79</f>
        <v>1.2034226254461022</v>
      </c>
      <c r="E80" s="433">
        <v>13.994</v>
      </c>
      <c r="F80" s="434" t="s">
        <v>78</v>
      </c>
      <c r="G80" s="435">
        <f>C80-D80</f>
        <v>194.79657737455389</v>
      </c>
      <c r="H80" s="22"/>
      <c r="I80" s="22"/>
      <c r="J80" s="230"/>
      <c r="K80" s="230">
        <v>194</v>
      </c>
      <c r="L80" s="433">
        <f>(M80*L79)/M79</f>
        <v>0.29238440536445287</v>
      </c>
      <c r="M80" s="433">
        <v>33.112299999999998</v>
      </c>
      <c r="N80" s="434" t="s">
        <v>78</v>
      </c>
      <c r="O80" s="435">
        <f>K80+L80</f>
        <v>194.29238440536446</v>
      </c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</row>
    <row r="81" spans="1:66" ht="15.75" x14ac:dyDescent="0.25">
      <c r="A81" s="571"/>
      <c r="B81" s="571"/>
      <c r="C81" s="571"/>
      <c r="D81" s="571"/>
      <c r="E81" s="571"/>
      <c r="F81" s="571"/>
      <c r="G81" s="571"/>
      <c r="H81" s="57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</row>
    <row r="82" spans="1:66" ht="15.75" x14ac:dyDescent="0.25">
      <c r="A82" s="22"/>
      <c r="B82" s="570"/>
      <c r="C82" s="570"/>
      <c r="D82" s="230" t="s">
        <v>76</v>
      </c>
      <c r="E82" s="230" t="s">
        <v>77</v>
      </c>
      <c r="F82" s="233"/>
      <c r="G82" s="233"/>
      <c r="H82" s="22"/>
      <c r="I82" s="22"/>
      <c r="J82" s="531"/>
      <c r="K82" s="531"/>
      <c r="L82" s="262"/>
      <c r="M82" s="26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</row>
    <row r="83" spans="1:66" ht="15.75" x14ac:dyDescent="0.25">
      <c r="A83" s="22"/>
      <c r="B83" s="230">
        <v>20</v>
      </c>
      <c r="C83" s="230" t="s">
        <v>84</v>
      </c>
      <c r="D83" s="233">
        <v>2</v>
      </c>
      <c r="E83" s="433">
        <v>25.972000000000001</v>
      </c>
      <c r="F83" s="233"/>
      <c r="G83" s="233"/>
      <c r="H83" s="22"/>
      <c r="I83" s="22"/>
      <c r="J83" s="262"/>
      <c r="K83" s="262"/>
      <c r="L83" s="22"/>
      <c r="M83" s="130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</row>
    <row r="84" spans="1:66" ht="15.75" x14ac:dyDescent="0.25">
      <c r="A84" s="22"/>
      <c r="B84" s="230"/>
      <c r="C84" s="230">
        <v>196</v>
      </c>
      <c r="D84" s="433">
        <f>(E84*D83)/E83</f>
        <v>1.13352071461574</v>
      </c>
      <c r="E84" s="433">
        <v>14.719900000000001</v>
      </c>
      <c r="F84" s="434" t="s">
        <v>78</v>
      </c>
      <c r="G84" s="435">
        <f>C84-D84</f>
        <v>194.86647928538426</v>
      </c>
      <c r="H84" s="22"/>
      <c r="I84" s="22"/>
      <c r="J84" s="262"/>
      <c r="K84" s="262"/>
      <c r="L84" s="130"/>
      <c r="M84" s="130"/>
      <c r="N84" s="51"/>
      <c r="O84" s="51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</row>
    <row r="85" spans="1:66" ht="15.75" x14ac:dyDescent="0.25">
      <c r="A85" s="571"/>
      <c r="B85" s="571"/>
      <c r="C85" s="571"/>
      <c r="D85" s="571"/>
      <c r="E85" s="571"/>
      <c r="F85" s="571"/>
      <c r="G85" s="571"/>
      <c r="H85" s="57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</row>
    <row r="86" spans="1:66" ht="15.75" x14ac:dyDescent="0.25">
      <c r="A86" s="22"/>
      <c r="B86" s="570"/>
      <c r="C86" s="570"/>
      <c r="D86" s="230" t="s">
        <v>76</v>
      </c>
      <c r="E86" s="230" t="s">
        <v>77</v>
      </c>
      <c r="F86" s="233"/>
      <c r="G86" s="23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</row>
    <row r="87" spans="1:66" ht="15.75" x14ac:dyDescent="0.25">
      <c r="A87" s="22"/>
      <c r="B87" s="230">
        <v>21</v>
      </c>
      <c r="C87" s="230" t="s">
        <v>84</v>
      </c>
      <c r="D87" s="233">
        <v>2</v>
      </c>
      <c r="E87" s="433">
        <v>59.924999999999997</v>
      </c>
      <c r="F87" s="233"/>
      <c r="G87" s="23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</row>
    <row r="88" spans="1:66" ht="15.75" x14ac:dyDescent="0.25">
      <c r="A88" s="22"/>
      <c r="B88" s="230"/>
      <c r="C88" s="230">
        <v>196</v>
      </c>
      <c r="D88" s="433">
        <f>(E88*D87)/E87</f>
        <v>1.8449995828118482</v>
      </c>
      <c r="E88" s="433">
        <v>55.280799999999999</v>
      </c>
      <c r="F88" s="434" t="s">
        <v>78</v>
      </c>
      <c r="G88" s="435">
        <f>C88-D88</f>
        <v>194.15500041718815</v>
      </c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</row>
    <row r="89" spans="1:66" ht="15.75" x14ac:dyDescent="0.25">
      <c r="A89" s="571"/>
      <c r="B89" s="571"/>
      <c r="C89" s="571"/>
      <c r="D89" s="571"/>
      <c r="E89" s="571"/>
      <c r="F89" s="571"/>
      <c r="G89" s="571"/>
      <c r="H89" s="57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</row>
    <row r="90" spans="1:66" ht="15.75" x14ac:dyDescent="0.25">
      <c r="A90" s="22"/>
      <c r="B90" s="570"/>
      <c r="C90" s="570"/>
      <c r="D90" s="230" t="s">
        <v>76</v>
      </c>
      <c r="E90" s="230" t="s">
        <v>77</v>
      </c>
      <c r="F90" s="233"/>
      <c r="G90" s="23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</row>
    <row r="91" spans="1:66" ht="15.75" x14ac:dyDescent="0.25">
      <c r="A91" s="22"/>
      <c r="B91" s="230">
        <v>22</v>
      </c>
      <c r="C91" s="230" t="s">
        <v>84</v>
      </c>
      <c r="D91" s="233">
        <v>2</v>
      </c>
      <c r="E91" s="433">
        <v>59.416200000000003</v>
      </c>
      <c r="F91" s="233"/>
      <c r="G91" s="23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</row>
    <row r="92" spans="1:66" ht="15.75" x14ac:dyDescent="0.25">
      <c r="A92" s="22"/>
      <c r="B92" s="230"/>
      <c r="C92" s="230">
        <v>196</v>
      </c>
      <c r="D92" s="433">
        <f>(E92*D91)/E91</f>
        <v>1.8384144391596904</v>
      </c>
      <c r="E92" s="433">
        <v>54.6158</v>
      </c>
      <c r="F92" s="434" t="s">
        <v>78</v>
      </c>
      <c r="G92" s="435">
        <f>C92-D92</f>
        <v>194.16158556084031</v>
      </c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</row>
    <row r="93" spans="1:66" ht="15.75" x14ac:dyDescent="0.25">
      <c r="A93" s="571"/>
      <c r="B93" s="571"/>
      <c r="C93" s="571"/>
      <c r="D93" s="571"/>
      <c r="E93" s="571"/>
      <c r="F93" s="571"/>
      <c r="G93" s="571"/>
      <c r="H93" s="57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</row>
    <row r="94" spans="1:66" ht="15.75" x14ac:dyDescent="0.25">
      <c r="A94" s="22"/>
      <c r="B94" s="570"/>
      <c r="C94" s="570"/>
      <c r="D94" s="230" t="s">
        <v>76</v>
      </c>
      <c r="E94" s="230" t="s">
        <v>77</v>
      </c>
      <c r="F94" s="233"/>
      <c r="G94" s="23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</row>
    <row r="95" spans="1:66" ht="15.75" x14ac:dyDescent="0.25">
      <c r="A95" s="22"/>
      <c r="B95" s="230">
        <v>23</v>
      </c>
      <c r="C95" s="230" t="s">
        <v>91</v>
      </c>
      <c r="D95" s="233">
        <v>2</v>
      </c>
      <c r="E95" s="433">
        <v>62.032699999999998</v>
      </c>
      <c r="F95" s="233"/>
      <c r="G95" s="23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</row>
    <row r="96" spans="1:66" ht="15.75" x14ac:dyDescent="0.25">
      <c r="A96" s="22"/>
      <c r="B96" s="230"/>
      <c r="C96" s="230">
        <v>192</v>
      </c>
      <c r="D96" s="433">
        <f>(E96*D95)/E95</f>
        <v>0.95193663986897237</v>
      </c>
      <c r="E96" s="433">
        <v>29.525600000000001</v>
      </c>
      <c r="F96" s="434" t="s">
        <v>78</v>
      </c>
      <c r="G96" s="435">
        <f>C96+D96</f>
        <v>192.95193663986896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</row>
    <row r="97" spans="1:66" ht="15.75" x14ac:dyDescent="0.25">
      <c r="A97" s="571"/>
      <c r="B97" s="571"/>
      <c r="C97" s="571"/>
      <c r="D97" s="571"/>
      <c r="E97" s="571"/>
      <c r="F97" s="571"/>
      <c r="G97" s="571"/>
      <c r="H97" s="57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</row>
    <row r="98" spans="1:66" ht="15.75" x14ac:dyDescent="0.25">
      <c r="A98" s="22"/>
      <c r="B98" s="570"/>
      <c r="C98" s="570"/>
      <c r="D98" s="230" t="s">
        <v>76</v>
      </c>
      <c r="E98" s="230" t="s">
        <v>77</v>
      </c>
      <c r="F98" s="233"/>
      <c r="G98" s="23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</row>
    <row r="99" spans="1:66" ht="15.75" x14ac:dyDescent="0.25">
      <c r="A99" s="22"/>
      <c r="B99" s="230">
        <v>24</v>
      </c>
      <c r="C99" s="230" t="s">
        <v>88</v>
      </c>
      <c r="D99" s="233">
        <v>2</v>
      </c>
      <c r="E99" s="433">
        <v>146.76929999999999</v>
      </c>
      <c r="F99" s="233"/>
      <c r="G99" s="23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</row>
    <row r="100" spans="1:66" ht="15.75" x14ac:dyDescent="0.25">
      <c r="A100" s="22"/>
      <c r="B100" s="230"/>
      <c r="C100" s="230">
        <v>196</v>
      </c>
      <c r="D100" s="433">
        <f>(E100*D99)/E99</f>
        <v>0.44392117425101846</v>
      </c>
      <c r="E100" s="433">
        <v>32.576999999999998</v>
      </c>
      <c r="F100" s="434" t="s">
        <v>78</v>
      </c>
      <c r="G100" s="435">
        <f>C100+D100</f>
        <v>196.44392117425102</v>
      </c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</row>
    <row r="101" spans="1:66" ht="15.75" x14ac:dyDescent="0.25">
      <c r="A101" s="571"/>
      <c r="B101" s="571"/>
      <c r="C101" s="571"/>
      <c r="D101" s="571"/>
      <c r="E101" s="571"/>
      <c r="F101" s="571"/>
      <c r="G101" s="571"/>
      <c r="H101" s="57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</row>
    <row r="102" spans="1:66" ht="15.75" x14ac:dyDescent="0.25">
      <c r="A102" s="22"/>
      <c r="B102" s="570"/>
      <c r="C102" s="570"/>
      <c r="D102" s="230" t="s">
        <v>76</v>
      </c>
      <c r="E102" s="230" t="s">
        <v>77</v>
      </c>
      <c r="F102" s="233"/>
      <c r="G102" s="23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</row>
    <row r="103" spans="1:66" ht="15.75" x14ac:dyDescent="0.25">
      <c r="A103" s="22"/>
      <c r="B103" s="230">
        <v>25</v>
      </c>
      <c r="C103" s="230" t="s">
        <v>88</v>
      </c>
      <c r="D103" s="233">
        <v>2</v>
      </c>
      <c r="E103" s="433">
        <v>147.98179999999999</v>
      </c>
      <c r="F103" s="233"/>
      <c r="G103" s="23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</row>
    <row r="104" spans="1:66" ht="15.75" x14ac:dyDescent="0.25">
      <c r="A104" s="22"/>
      <c r="B104" s="230"/>
      <c r="C104" s="230">
        <v>196</v>
      </c>
      <c r="D104" s="433">
        <f>(E104*D103)/E103</f>
        <v>0.44910117325238647</v>
      </c>
      <c r="E104" s="433">
        <v>33.229399999999998</v>
      </c>
      <c r="F104" s="434" t="s">
        <v>78</v>
      </c>
      <c r="G104" s="435">
        <f>C104+D104</f>
        <v>196.44910117325239</v>
      </c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</row>
    <row r="105" spans="1:66" ht="15.75" x14ac:dyDescent="0.25">
      <c r="A105" s="1"/>
      <c r="B105" s="1"/>
      <c r="C105" s="1"/>
      <c r="D105" s="1"/>
      <c r="E105" s="1"/>
      <c r="F105" s="1"/>
      <c r="G105" s="1"/>
      <c r="H105" s="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</row>
    <row r="106" spans="1:66" ht="15.75" x14ac:dyDescent="0.25">
      <c r="A106" s="1"/>
      <c r="B106" s="1"/>
      <c r="C106" s="1"/>
      <c r="D106" s="1"/>
      <c r="E106" s="1"/>
      <c r="F106" s="1"/>
      <c r="G106" s="1"/>
      <c r="H106" s="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</row>
    <row r="107" spans="1:66" ht="15.75" x14ac:dyDescent="0.25">
      <c r="A107" s="1"/>
      <c r="B107" s="1"/>
      <c r="C107" s="1"/>
      <c r="D107" s="1"/>
      <c r="E107" s="1"/>
      <c r="F107" s="1"/>
      <c r="G107" s="1"/>
      <c r="H107" s="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</row>
    <row r="108" spans="1:66" ht="15.75" x14ac:dyDescent="0.25">
      <c r="A108" s="1"/>
      <c r="B108" s="1"/>
      <c r="C108" s="1"/>
      <c r="D108" s="1"/>
      <c r="E108" s="1"/>
      <c r="F108" s="1"/>
      <c r="G108" s="1"/>
      <c r="H108" s="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</row>
    <row r="109" spans="1:66" ht="15.75" x14ac:dyDescent="0.25">
      <c r="A109" s="1"/>
      <c r="B109" s="1"/>
      <c r="C109" s="1"/>
      <c r="D109" s="1"/>
      <c r="E109" s="1"/>
      <c r="F109" s="1"/>
      <c r="G109" s="1"/>
      <c r="H109" s="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</row>
    <row r="110" spans="1:66" ht="15.75" x14ac:dyDescent="0.25">
      <c r="A110" s="1"/>
      <c r="B110" s="1"/>
      <c r="C110" s="1"/>
      <c r="D110" s="1"/>
      <c r="E110" s="1"/>
      <c r="F110" s="1"/>
      <c r="G110" s="1"/>
      <c r="H110" s="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</row>
    <row r="111" spans="1:66" ht="15.75" x14ac:dyDescent="0.25">
      <c r="A111" s="1"/>
      <c r="B111" s="1"/>
      <c r="C111" s="1"/>
      <c r="D111" s="1"/>
      <c r="E111" s="1"/>
      <c r="F111" s="1"/>
      <c r="G111" s="1"/>
      <c r="H111" s="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</row>
    <row r="112" spans="1:66" ht="15.75" x14ac:dyDescent="0.25">
      <c r="A112" s="1"/>
      <c r="B112" s="1"/>
      <c r="C112" s="1"/>
      <c r="D112" s="1"/>
      <c r="E112" s="1"/>
      <c r="F112" s="1"/>
      <c r="G112" s="1"/>
      <c r="H112" s="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</row>
    <row r="113" spans="1:66" ht="15.75" x14ac:dyDescent="0.25">
      <c r="A113" s="1"/>
      <c r="B113" s="1"/>
      <c r="C113" s="1"/>
      <c r="D113" s="1"/>
      <c r="E113" s="1"/>
      <c r="F113" s="1"/>
      <c r="G113" s="1"/>
      <c r="H113" s="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</row>
    <row r="114" spans="1:66" ht="15.75" x14ac:dyDescent="0.25">
      <c r="A114" s="1"/>
      <c r="B114" s="1"/>
      <c r="C114" s="1"/>
      <c r="D114" s="1"/>
      <c r="E114" s="1"/>
      <c r="F114" s="1"/>
      <c r="G114" s="1"/>
      <c r="H114" s="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</row>
    <row r="115" spans="1:66" ht="15.75" x14ac:dyDescent="0.25">
      <c r="A115" s="1"/>
      <c r="B115" s="1"/>
      <c r="C115" s="1"/>
      <c r="D115" s="1"/>
      <c r="E115" s="1"/>
      <c r="F115" s="1"/>
      <c r="G115" s="1"/>
      <c r="H115" s="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</row>
    <row r="116" spans="1:66" ht="15.75" x14ac:dyDescent="0.25">
      <c r="A116" s="1"/>
      <c r="B116" s="1"/>
      <c r="C116" s="1"/>
      <c r="D116" s="1"/>
      <c r="E116" s="1"/>
      <c r="F116" s="1"/>
      <c r="G116" s="1"/>
      <c r="H116" s="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</row>
    <row r="117" spans="1:66" ht="15.75" x14ac:dyDescent="0.25">
      <c r="A117" s="1"/>
      <c r="B117" s="1"/>
      <c r="C117" s="1"/>
      <c r="D117" s="1"/>
      <c r="E117" s="1"/>
      <c r="F117" s="1"/>
      <c r="G117" s="1"/>
      <c r="H117" s="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</row>
    <row r="118" spans="1:66" ht="15.75" x14ac:dyDescent="0.25">
      <c r="A118" s="1"/>
      <c r="B118" s="1"/>
      <c r="C118" s="1"/>
      <c r="D118" s="1"/>
      <c r="E118" s="1"/>
      <c r="F118" s="1"/>
      <c r="G118" s="1"/>
      <c r="H118" s="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</row>
    <row r="119" spans="1:66" ht="15.75" x14ac:dyDescent="0.25">
      <c r="A119" s="1"/>
      <c r="B119" s="1"/>
      <c r="C119" s="1"/>
      <c r="D119" s="1"/>
      <c r="E119" s="1"/>
      <c r="F119" s="1"/>
      <c r="G119" s="1"/>
      <c r="H119" s="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</row>
    <row r="120" spans="1:66" ht="15.75" x14ac:dyDescent="0.25">
      <c r="A120" s="1"/>
      <c r="B120" s="1"/>
      <c r="C120" s="1"/>
      <c r="D120" s="1"/>
      <c r="E120" s="1"/>
      <c r="F120" s="1"/>
      <c r="G120" s="1"/>
      <c r="H120" s="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</row>
    <row r="121" spans="1:66" ht="15.75" x14ac:dyDescent="0.25">
      <c r="A121" s="1"/>
      <c r="B121" s="1"/>
      <c r="C121" s="1"/>
      <c r="D121" s="1"/>
      <c r="E121" s="1"/>
      <c r="F121" s="1"/>
      <c r="G121" s="1"/>
      <c r="H121" s="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</row>
    <row r="122" spans="1:66" ht="15.75" x14ac:dyDescent="0.25">
      <c r="A122" s="1"/>
      <c r="B122" s="1"/>
      <c r="C122" s="1"/>
      <c r="D122" s="1"/>
      <c r="E122" s="1"/>
      <c r="F122" s="1"/>
      <c r="G122" s="1"/>
      <c r="H122" s="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</row>
    <row r="123" spans="1:66" ht="15.75" x14ac:dyDescent="0.25">
      <c r="A123" s="1"/>
      <c r="B123" s="1"/>
      <c r="C123" s="1"/>
      <c r="D123" s="1"/>
      <c r="E123" s="1"/>
      <c r="F123" s="1"/>
      <c r="G123" s="1"/>
      <c r="H123" s="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</row>
    <row r="124" spans="1:66" ht="15.75" x14ac:dyDescent="0.25">
      <c r="A124" s="1"/>
      <c r="B124" s="1"/>
      <c r="C124" s="1"/>
      <c r="D124" s="1"/>
      <c r="E124" s="1"/>
      <c r="F124" s="1"/>
      <c r="G124" s="1"/>
      <c r="H124" s="1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</row>
    <row r="125" spans="1:66" ht="15.75" x14ac:dyDescent="0.25">
      <c r="A125" s="1"/>
      <c r="B125" s="1"/>
      <c r="C125" s="1"/>
      <c r="D125" s="1"/>
      <c r="E125" s="1"/>
      <c r="F125" s="1"/>
      <c r="G125" s="1"/>
      <c r="H125" s="1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</row>
    <row r="126" spans="1:66" ht="15.75" x14ac:dyDescent="0.25">
      <c r="A126" s="1"/>
      <c r="B126" s="1"/>
      <c r="C126" s="1"/>
      <c r="D126" s="1"/>
      <c r="E126" s="1"/>
      <c r="F126" s="1"/>
      <c r="G126" s="1"/>
      <c r="H126" s="1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</row>
    <row r="127" spans="1:66" ht="15.75" x14ac:dyDescent="0.25">
      <c r="A127" s="1"/>
      <c r="B127" s="1"/>
      <c r="C127" s="1"/>
      <c r="D127" s="1"/>
      <c r="E127" s="1"/>
      <c r="F127" s="1"/>
      <c r="G127" s="1"/>
      <c r="H127" s="1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</row>
    <row r="128" spans="1:66" ht="15.75" x14ac:dyDescent="0.25">
      <c r="A128" s="1"/>
      <c r="B128" s="1"/>
      <c r="C128" s="1"/>
      <c r="D128" s="1"/>
      <c r="E128" s="1"/>
      <c r="F128" s="1"/>
      <c r="G128" s="1"/>
      <c r="H128" s="1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</row>
    <row r="129" spans="1:66" ht="15.75" x14ac:dyDescent="0.25">
      <c r="A129" s="1"/>
      <c r="B129" s="1"/>
      <c r="C129" s="1"/>
      <c r="D129" s="1"/>
      <c r="E129" s="1"/>
      <c r="F129" s="1"/>
      <c r="G129" s="1"/>
      <c r="H129" s="1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</row>
    <row r="130" spans="1:66" ht="15.75" x14ac:dyDescent="0.25">
      <c r="A130" s="1"/>
      <c r="B130" s="1"/>
      <c r="C130" s="1"/>
      <c r="D130" s="1"/>
      <c r="E130" s="1"/>
      <c r="F130" s="1"/>
      <c r="G130" s="1"/>
      <c r="H130" s="1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</row>
    <row r="131" spans="1:66" ht="15.75" x14ac:dyDescent="0.25">
      <c r="A131" s="1"/>
      <c r="B131" s="1"/>
      <c r="C131" s="1"/>
      <c r="D131" s="1"/>
      <c r="E131" s="1"/>
      <c r="F131" s="1"/>
      <c r="G131" s="1"/>
      <c r="H131" s="1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</row>
    <row r="132" spans="1:66" ht="15.75" x14ac:dyDescent="0.25">
      <c r="A132" s="1"/>
      <c r="B132" s="1"/>
      <c r="C132" s="1"/>
      <c r="D132" s="1"/>
      <c r="E132" s="1"/>
      <c r="F132" s="1"/>
      <c r="G132" s="1"/>
      <c r="H132" s="1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</row>
    <row r="133" spans="1:66" ht="15.75" x14ac:dyDescent="0.25">
      <c r="A133" s="1"/>
      <c r="B133" s="1"/>
      <c r="C133" s="1"/>
      <c r="D133" s="1"/>
      <c r="E133" s="1"/>
      <c r="F133" s="1"/>
      <c r="G133" s="1"/>
      <c r="H133" s="1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</row>
    <row r="134" spans="1:66" ht="15.75" x14ac:dyDescent="0.25">
      <c r="A134" s="1"/>
      <c r="B134" s="1"/>
      <c r="C134" s="1"/>
      <c r="D134" s="1"/>
      <c r="E134" s="1"/>
      <c r="F134" s="1"/>
      <c r="G134" s="1"/>
      <c r="H134" s="1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</row>
    <row r="135" spans="1:66" ht="15.75" x14ac:dyDescent="0.25">
      <c r="A135" s="1"/>
      <c r="B135" s="1"/>
      <c r="C135" s="1"/>
      <c r="D135" s="1"/>
      <c r="E135" s="1"/>
      <c r="F135" s="1"/>
      <c r="G135" s="1"/>
      <c r="H135" s="1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</row>
    <row r="136" spans="1:66" ht="15.75" x14ac:dyDescent="0.25">
      <c r="A136" s="1"/>
      <c r="B136" s="1"/>
      <c r="C136" s="1"/>
      <c r="D136" s="1"/>
      <c r="E136" s="1"/>
      <c r="F136" s="1"/>
      <c r="G136" s="1"/>
      <c r="H136" s="1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</row>
    <row r="137" spans="1:66" ht="15.75" x14ac:dyDescent="0.25">
      <c r="A137" s="1"/>
      <c r="B137" s="1"/>
      <c r="C137" s="1"/>
      <c r="D137" s="1"/>
      <c r="E137" s="1"/>
      <c r="F137" s="1"/>
      <c r="G137" s="1"/>
      <c r="H137" s="1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</row>
    <row r="138" spans="1:66" ht="15.75" x14ac:dyDescent="0.25">
      <c r="A138" s="1"/>
      <c r="B138" s="1"/>
      <c r="C138" s="1"/>
      <c r="D138" s="1"/>
      <c r="E138" s="1"/>
      <c r="F138" s="1"/>
      <c r="G138" s="1"/>
      <c r="H138" s="1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</row>
    <row r="139" spans="1:66" ht="15.75" x14ac:dyDescent="0.25">
      <c r="A139" s="1"/>
      <c r="B139" s="1"/>
      <c r="C139" s="1"/>
      <c r="D139" s="1"/>
      <c r="E139" s="1"/>
      <c r="F139" s="1"/>
      <c r="G139" s="1"/>
      <c r="H139" s="1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</row>
    <row r="140" spans="1:66" ht="15.75" x14ac:dyDescent="0.25">
      <c r="A140" s="1"/>
      <c r="B140" s="1"/>
      <c r="C140" s="1"/>
      <c r="D140" s="1"/>
      <c r="E140" s="1"/>
      <c r="F140" s="1"/>
      <c r="G140" s="1"/>
      <c r="H140" s="1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</row>
    <row r="141" spans="1:66" ht="15.75" x14ac:dyDescent="0.25">
      <c r="A141" s="1"/>
      <c r="B141" s="1"/>
      <c r="C141" s="1"/>
      <c r="D141" s="1"/>
      <c r="E141" s="1"/>
      <c r="F141" s="1"/>
      <c r="G141" s="1"/>
      <c r="H141" s="1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</row>
    <row r="142" spans="1:66" ht="15.75" x14ac:dyDescent="0.25">
      <c r="A142" s="1"/>
      <c r="B142" s="1"/>
      <c r="C142" s="1"/>
      <c r="D142" s="1"/>
      <c r="E142" s="1"/>
      <c r="F142" s="1"/>
      <c r="G142" s="1"/>
      <c r="H142" s="1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</row>
    <row r="143" spans="1:66" ht="15.75" x14ac:dyDescent="0.25">
      <c r="A143" s="1"/>
      <c r="B143" s="1"/>
      <c r="C143" s="1"/>
      <c r="D143" s="1"/>
      <c r="E143" s="1"/>
      <c r="F143" s="1"/>
      <c r="G143" s="1"/>
      <c r="H143" s="1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</row>
    <row r="144" spans="1:66" ht="15.75" x14ac:dyDescent="0.25">
      <c r="A144" s="1"/>
      <c r="B144" s="1"/>
      <c r="C144" s="1"/>
      <c r="D144" s="1"/>
      <c r="E144" s="1"/>
      <c r="F144" s="1"/>
      <c r="G144" s="1"/>
      <c r="H144" s="1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</row>
    <row r="145" spans="1:66" ht="15.75" x14ac:dyDescent="0.25">
      <c r="A145" s="1"/>
      <c r="B145" s="1"/>
      <c r="C145" s="1"/>
      <c r="D145" s="1"/>
      <c r="E145" s="1"/>
      <c r="F145" s="1"/>
      <c r="G145" s="1"/>
      <c r="H145" s="1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</row>
    <row r="146" spans="1:66" ht="15.75" x14ac:dyDescent="0.25">
      <c r="A146" s="1"/>
      <c r="B146" s="1"/>
      <c r="C146" s="1"/>
      <c r="D146" s="1"/>
      <c r="E146" s="1"/>
      <c r="F146" s="1"/>
      <c r="G146" s="1"/>
      <c r="H146" s="1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</row>
    <row r="147" spans="1:66" ht="15.75" x14ac:dyDescent="0.25">
      <c r="A147" s="1"/>
      <c r="B147" s="1"/>
      <c r="C147" s="1"/>
      <c r="D147" s="1"/>
      <c r="E147" s="1"/>
      <c r="F147" s="1"/>
      <c r="G147" s="1"/>
      <c r="H147" s="1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</row>
    <row r="148" spans="1:66" ht="15.75" x14ac:dyDescent="0.25">
      <c r="A148" s="1"/>
      <c r="B148" s="1"/>
      <c r="C148" s="1"/>
      <c r="D148" s="1"/>
      <c r="E148" s="1"/>
      <c r="F148" s="1"/>
      <c r="G148" s="1"/>
      <c r="H148" s="1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</row>
    <row r="149" spans="1:66" ht="15.75" x14ac:dyDescent="0.25">
      <c r="A149" s="1"/>
      <c r="B149" s="1"/>
      <c r="C149" s="1"/>
      <c r="D149" s="1"/>
      <c r="E149" s="1"/>
      <c r="F149" s="1"/>
      <c r="G149" s="1"/>
      <c r="H149" s="1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</row>
    <row r="150" spans="1:66" ht="15.75" x14ac:dyDescent="0.25">
      <c r="A150" s="1"/>
      <c r="B150" s="1"/>
      <c r="C150" s="1"/>
      <c r="D150" s="1"/>
      <c r="E150" s="1"/>
      <c r="F150" s="1"/>
      <c r="G150" s="1"/>
      <c r="H150" s="1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</row>
    <row r="151" spans="1:66" ht="15.75" x14ac:dyDescent="0.25">
      <c r="A151" s="1"/>
      <c r="B151" s="1"/>
      <c r="C151" s="1"/>
      <c r="D151" s="1"/>
      <c r="E151" s="1"/>
      <c r="F151" s="1"/>
      <c r="G151" s="1"/>
      <c r="H151" s="1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</row>
    <row r="152" spans="1:66" ht="15.75" x14ac:dyDescent="0.25">
      <c r="A152" s="1"/>
      <c r="B152" s="1"/>
      <c r="C152" s="1"/>
      <c r="D152" s="1"/>
      <c r="E152" s="1"/>
      <c r="F152" s="1"/>
      <c r="G152" s="1"/>
      <c r="H152" s="1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</row>
    <row r="153" spans="1:66" ht="15.75" x14ac:dyDescent="0.25">
      <c r="A153" s="1"/>
      <c r="B153" s="1"/>
      <c r="C153" s="1"/>
      <c r="D153" s="1"/>
      <c r="E153" s="1"/>
      <c r="F153" s="1"/>
      <c r="G153" s="1"/>
      <c r="H153" s="1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</row>
    <row r="154" spans="1:66" ht="15.75" x14ac:dyDescent="0.25">
      <c r="A154" s="1"/>
      <c r="B154" s="1"/>
      <c r="C154" s="1"/>
      <c r="D154" s="1"/>
      <c r="E154" s="1"/>
      <c r="F154" s="1"/>
      <c r="G154" s="1"/>
      <c r="H154" s="1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</row>
    <row r="155" spans="1:66" ht="15.75" x14ac:dyDescent="0.25">
      <c r="A155" s="1"/>
      <c r="B155" s="1"/>
      <c r="C155" s="1"/>
      <c r="D155" s="1"/>
      <c r="E155" s="1"/>
      <c r="F155" s="1"/>
      <c r="G155" s="1"/>
      <c r="H155" s="1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</row>
    <row r="156" spans="1:66" ht="15.75" x14ac:dyDescent="0.25">
      <c r="A156" s="1"/>
      <c r="B156" s="1"/>
      <c r="C156" s="1"/>
      <c r="D156" s="1"/>
      <c r="E156" s="1"/>
      <c r="F156" s="1"/>
      <c r="G156" s="1"/>
      <c r="H156" s="1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</row>
    <row r="157" spans="1:66" ht="15.75" x14ac:dyDescent="0.25">
      <c r="A157" s="1"/>
      <c r="B157" s="1"/>
      <c r="C157" s="1"/>
      <c r="D157" s="1"/>
      <c r="E157" s="1"/>
      <c r="F157" s="1"/>
      <c r="G157" s="1"/>
      <c r="H157" s="1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</row>
    <row r="158" spans="1:66" ht="15.75" x14ac:dyDescent="0.25">
      <c r="A158" s="1"/>
      <c r="B158" s="1"/>
      <c r="C158" s="1"/>
      <c r="D158" s="1"/>
      <c r="E158" s="1"/>
      <c r="F158" s="1"/>
      <c r="G158" s="1"/>
      <c r="H158" s="1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</row>
    <row r="159" spans="1:66" ht="15.75" x14ac:dyDescent="0.25">
      <c r="A159" s="1"/>
      <c r="B159" s="1"/>
      <c r="C159" s="1"/>
      <c r="D159" s="1"/>
      <c r="E159" s="1"/>
      <c r="F159" s="1"/>
      <c r="G159" s="1"/>
      <c r="H159" s="1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</row>
    <row r="160" spans="1:66" ht="15.75" x14ac:dyDescent="0.25">
      <c r="A160" s="1"/>
      <c r="B160" s="1"/>
      <c r="C160" s="1"/>
      <c r="D160" s="1"/>
      <c r="E160" s="1"/>
      <c r="F160" s="1"/>
      <c r="G160" s="1"/>
      <c r="H160" s="1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</row>
    <row r="161" spans="1:66" ht="15.75" x14ac:dyDescent="0.25">
      <c r="A161" s="1"/>
      <c r="B161" s="1"/>
      <c r="C161" s="1"/>
      <c r="D161" s="1"/>
      <c r="E161" s="1"/>
      <c r="F161" s="1"/>
      <c r="G161" s="1"/>
      <c r="H161" s="1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</row>
    <row r="162" spans="1:66" ht="15.75" x14ac:dyDescent="0.25">
      <c r="A162" s="1"/>
      <c r="B162" s="1"/>
      <c r="C162" s="1"/>
      <c r="D162" s="1"/>
      <c r="E162" s="1"/>
      <c r="F162" s="1"/>
      <c r="G162" s="1"/>
      <c r="H162" s="1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</row>
    <row r="163" spans="1:66" ht="15.75" x14ac:dyDescent="0.25">
      <c r="A163" s="1"/>
      <c r="B163" s="1"/>
      <c r="C163" s="1"/>
      <c r="D163" s="1"/>
      <c r="E163" s="1"/>
      <c r="F163" s="1"/>
      <c r="G163" s="1"/>
      <c r="H163" s="1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</row>
    <row r="164" spans="1:66" ht="15.75" x14ac:dyDescent="0.25">
      <c r="A164" s="1"/>
      <c r="B164" s="1"/>
      <c r="C164" s="1"/>
      <c r="D164" s="1"/>
      <c r="E164" s="1"/>
      <c r="F164" s="1"/>
      <c r="G164" s="1"/>
      <c r="H164" s="1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</row>
    <row r="165" spans="1:66" ht="15.75" x14ac:dyDescent="0.25">
      <c r="A165" s="1"/>
      <c r="B165" s="1"/>
      <c r="C165" s="1"/>
      <c r="D165" s="1"/>
      <c r="E165" s="1"/>
      <c r="F165" s="1"/>
      <c r="G165" s="1"/>
      <c r="H165" s="1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</row>
    <row r="166" spans="1:66" ht="15.75" x14ac:dyDescent="0.25">
      <c r="A166" s="1"/>
      <c r="B166" s="1"/>
      <c r="C166" s="1"/>
      <c r="D166" s="1"/>
      <c r="E166" s="1"/>
      <c r="F166" s="1"/>
      <c r="G166" s="1"/>
      <c r="H166" s="1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</row>
    <row r="167" spans="1:66" ht="15.75" x14ac:dyDescent="0.25">
      <c r="A167" s="1"/>
      <c r="B167" s="1"/>
      <c r="C167" s="1"/>
      <c r="D167" s="1"/>
      <c r="E167" s="1"/>
      <c r="F167" s="1"/>
      <c r="G167" s="1"/>
      <c r="H167" s="1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</row>
    <row r="168" spans="1:66" ht="15.75" x14ac:dyDescent="0.25">
      <c r="A168" s="1"/>
      <c r="B168" s="1"/>
      <c r="C168" s="1"/>
      <c r="D168" s="1"/>
      <c r="E168" s="1"/>
      <c r="F168" s="1"/>
      <c r="G168" s="1"/>
      <c r="H168" s="1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</row>
    <row r="169" spans="1:66" ht="15.75" x14ac:dyDescent="0.25">
      <c r="A169" s="1"/>
      <c r="B169" s="1"/>
      <c r="C169" s="1"/>
      <c r="D169" s="1"/>
      <c r="E169" s="1"/>
      <c r="F169" s="1"/>
      <c r="G169" s="1"/>
      <c r="H169" s="1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</row>
    <row r="170" spans="1:66" ht="15.75" x14ac:dyDescent="0.25">
      <c r="A170" s="1"/>
      <c r="B170" s="1"/>
      <c r="C170" s="1"/>
      <c r="D170" s="1"/>
      <c r="E170" s="1"/>
      <c r="F170" s="1"/>
      <c r="G170" s="1"/>
      <c r="H170" s="1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</row>
    <row r="171" spans="1:66" ht="15.75" x14ac:dyDescent="0.25">
      <c r="A171" s="1"/>
      <c r="B171" s="1"/>
      <c r="C171" s="1"/>
      <c r="D171" s="1"/>
      <c r="E171" s="1"/>
      <c r="F171" s="1"/>
      <c r="G171" s="1"/>
      <c r="H171" s="1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</row>
    <row r="172" spans="1:66" ht="15.75" x14ac:dyDescent="0.25">
      <c r="A172" s="1"/>
      <c r="B172" s="1"/>
      <c r="C172" s="1"/>
      <c r="D172" s="1"/>
      <c r="E172" s="1"/>
      <c r="F172" s="1"/>
      <c r="G172" s="1"/>
      <c r="H172" s="1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</row>
    <row r="173" spans="1:66" ht="15.75" x14ac:dyDescent="0.25">
      <c r="A173" s="1"/>
      <c r="B173" s="1"/>
      <c r="C173" s="1"/>
      <c r="D173" s="1"/>
      <c r="E173" s="1"/>
      <c r="F173" s="1"/>
      <c r="G173" s="1"/>
      <c r="H173" s="1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</row>
    <row r="174" spans="1:66" ht="15.75" x14ac:dyDescent="0.25">
      <c r="A174" s="1"/>
      <c r="B174" s="1"/>
      <c r="C174" s="1"/>
      <c r="D174" s="1"/>
      <c r="E174" s="1"/>
      <c r="F174" s="1"/>
      <c r="G174" s="1"/>
      <c r="H174" s="1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</row>
    <row r="175" spans="1:66" ht="15.75" x14ac:dyDescent="0.25">
      <c r="A175" s="1"/>
      <c r="B175" s="1"/>
      <c r="C175" s="1"/>
      <c r="D175" s="1"/>
      <c r="E175" s="1"/>
      <c r="F175" s="1"/>
      <c r="G175" s="1"/>
      <c r="H175" s="1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</row>
    <row r="176" spans="1:66" ht="15.75" x14ac:dyDescent="0.25">
      <c r="A176" s="1"/>
      <c r="B176" s="1"/>
      <c r="C176" s="1"/>
      <c r="D176" s="1"/>
      <c r="E176" s="1"/>
      <c r="F176" s="1"/>
      <c r="G176" s="1"/>
      <c r="H176" s="1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</row>
    <row r="177" spans="9:66" ht="15.75" x14ac:dyDescent="0.25"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</row>
    <row r="178" spans="9:66" ht="15.75" x14ac:dyDescent="0.25"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</row>
    <row r="179" spans="9:66" ht="15.75" x14ac:dyDescent="0.25"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</row>
    <row r="180" spans="9:66" ht="15.75" x14ac:dyDescent="0.25"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</row>
    <row r="181" spans="9:66" ht="15.75" x14ac:dyDescent="0.25"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</row>
    <row r="182" spans="9:66" ht="15.75" x14ac:dyDescent="0.25"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</row>
    <row r="183" spans="9:66" ht="15.75" x14ac:dyDescent="0.25"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</row>
    <row r="184" spans="9:66" ht="15.75" x14ac:dyDescent="0.25"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</row>
    <row r="185" spans="9:66" ht="15.75" x14ac:dyDescent="0.25"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</row>
    <row r="186" spans="9:66" ht="15.75" x14ac:dyDescent="0.25"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</row>
    <row r="187" spans="9:66" ht="15.75" x14ac:dyDescent="0.25"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</row>
    <row r="188" spans="9:66" ht="15.75" x14ac:dyDescent="0.25"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</row>
    <row r="189" spans="9:66" ht="15.75" x14ac:dyDescent="0.25"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</row>
    <row r="190" spans="9:66" ht="15.75" x14ac:dyDescent="0.25"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</row>
    <row r="191" spans="9:66" ht="15.75" x14ac:dyDescent="0.25"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</row>
    <row r="192" spans="9:66" ht="15.75" x14ac:dyDescent="0.25"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</row>
    <row r="193" spans="9:66" ht="15.75" x14ac:dyDescent="0.25"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</row>
    <row r="194" spans="9:66" ht="15.75" x14ac:dyDescent="0.25"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</row>
    <row r="195" spans="9:66" ht="15.75" x14ac:dyDescent="0.25"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</row>
    <row r="196" spans="9:66" ht="15.75" x14ac:dyDescent="0.25"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</row>
    <row r="197" spans="9:66" ht="15.75" x14ac:dyDescent="0.25"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</row>
    <row r="198" spans="9:66" ht="15.75" x14ac:dyDescent="0.25"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</row>
    <row r="199" spans="9:66" ht="15.75" x14ac:dyDescent="0.25"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</row>
    <row r="200" spans="9:66" ht="15.75" x14ac:dyDescent="0.25"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</row>
    <row r="201" spans="9:66" ht="15.75" x14ac:dyDescent="0.25"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</row>
    <row r="202" spans="9:66" ht="15.75" x14ac:dyDescent="0.25"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</row>
    <row r="203" spans="9:66" ht="15.75" x14ac:dyDescent="0.25"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</row>
    <row r="204" spans="9:66" ht="15.75" x14ac:dyDescent="0.25"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</row>
    <row r="205" spans="9:66" ht="15.75" x14ac:dyDescent="0.25"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</row>
    <row r="206" spans="9:66" ht="15.75" x14ac:dyDescent="0.25"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</row>
    <row r="207" spans="9:66" ht="15.75" x14ac:dyDescent="0.25"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</row>
    <row r="208" spans="9:66" ht="15.75" x14ac:dyDescent="0.25"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</row>
    <row r="209" spans="9:66" ht="15.75" x14ac:dyDescent="0.25"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</row>
    <row r="210" spans="9:66" ht="15.75" x14ac:dyDescent="0.25"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</row>
    <row r="211" spans="9:66" ht="15.75" x14ac:dyDescent="0.25"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</row>
    <row r="212" spans="9:66" ht="15.75" x14ac:dyDescent="0.25"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</row>
    <row r="213" spans="9:66" ht="15.75" x14ac:dyDescent="0.25"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</row>
    <row r="214" spans="9:66" ht="15.75" x14ac:dyDescent="0.25"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</row>
    <row r="215" spans="9:66" ht="15.75" x14ac:dyDescent="0.25"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</row>
    <row r="216" spans="9:66" ht="15.75" x14ac:dyDescent="0.25"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</row>
    <row r="217" spans="9:66" ht="15.75" x14ac:dyDescent="0.25"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</row>
    <row r="218" spans="9:66" ht="15.75" x14ac:dyDescent="0.25"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</row>
    <row r="219" spans="9:66" ht="15.75" x14ac:dyDescent="0.25"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</row>
    <row r="220" spans="9:66" ht="15.75" x14ac:dyDescent="0.25"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</row>
    <row r="221" spans="9:66" ht="15.75" x14ac:dyDescent="0.25"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</row>
    <row r="222" spans="9:66" ht="15.75" x14ac:dyDescent="0.25"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</row>
    <row r="223" spans="9:66" ht="15.75" x14ac:dyDescent="0.25"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</row>
    <row r="224" spans="9:66" ht="15.75" x14ac:dyDescent="0.25"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</row>
    <row r="225" spans="1:66" ht="15.75" x14ac:dyDescent="0.25"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</row>
    <row r="226" spans="1:66" ht="15.75" x14ac:dyDescent="0.25"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</row>
    <row r="227" spans="1:66" ht="15.75" x14ac:dyDescent="0.25"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</row>
    <row r="228" spans="1:66" ht="15.75" x14ac:dyDescent="0.25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</row>
    <row r="229" spans="1:66" ht="15.75" x14ac:dyDescent="0.25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</row>
    <row r="230" spans="1:66" ht="15.75" x14ac:dyDescent="0.25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</row>
    <row r="231" spans="1:66" ht="15.75" x14ac:dyDescent="0.25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</row>
    <row r="232" spans="1:66" ht="15.75" x14ac:dyDescent="0.25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</row>
    <row r="233" spans="1:66" ht="15.75" x14ac:dyDescent="0.25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</row>
    <row r="234" spans="1:66" ht="15.75" x14ac:dyDescent="0.25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</row>
    <row r="235" spans="1:66" ht="15.75" x14ac:dyDescent="0.2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</row>
    <row r="236" spans="1:66" ht="15.75" x14ac:dyDescent="0.2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</row>
    <row r="237" spans="1:66" ht="15.75" x14ac:dyDescent="0.2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</row>
    <row r="238" spans="1:66" ht="15.75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</row>
    <row r="239" spans="1:66" ht="15.75" x14ac:dyDescent="0.2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</row>
    <row r="240" spans="1:66" ht="15.75" x14ac:dyDescent="0.2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</row>
    <row r="241" spans="1:66" ht="15.75" x14ac:dyDescent="0.2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</row>
    <row r="242" spans="1:66" ht="15.75" x14ac:dyDescent="0.2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</row>
    <row r="243" spans="1:66" ht="15.75" x14ac:dyDescent="0.2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</row>
    <row r="244" spans="1:66" ht="15.75" x14ac:dyDescent="0.2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</row>
    <row r="245" spans="1:66" ht="15.75" x14ac:dyDescent="0.2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</row>
    <row r="246" spans="1:66" ht="15.75" x14ac:dyDescent="0.2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</row>
    <row r="247" spans="1:66" ht="15.75" x14ac:dyDescent="0.25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</row>
    <row r="248" spans="1:66" ht="15.75" x14ac:dyDescent="0.25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</row>
    <row r="249" spans="1:66" ht="15.75" x14ac:dyDescent="0.25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</row>
    <row r="250" spans="1:66" ht="15.75" x14ac:dyDescent="0.25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</row>
    <row r="251" spans="1:66" ht="15.75" x14ac:dyDescent="0.25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</row>
    <row r="252" spans="1:66" ht="15.75" x14ac:dyDescent="0.25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</row>
    <row r="253" spans="1:66" ht="15.75" x14ac:dyDescent="0.2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</row>
    <row r="254" spans="1:66" ht="15.75" x14ac:dyDescent="0.2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</row>
    <row r="255" spans="1:66" ht="15.75" x14ac:dyDescent="0.2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</row>
    <row r="256" spans="1:66" ht="15.75" x14ac:dyDescent="0.2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</row>
    <row r="257" spans="1:66" ht="15.75" x14ac:dyDescent="0.2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</row>
    <row r="258" spans="1:66" ht="15.75" x14ac:dyDescent="0.2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</row>
    <row r="259" spans="1:66" ht="15.75" x14ac:dyDescent="0.2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</row>
    <row r="260" spans="1:66" ht="15.75" x14ac:dyDescent="0.2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</row>
    <row r="261" spans="1:66" ht="15.75" x14ac:dyDescent="0.2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</row>
    <row r="262" spans="1:66" ht="15.75" x14ac:dyDescent="0.2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</row>
    <row r="263" spans="1:66" ht="15.75" x14ac:dyDescent="0.2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</row>
    <row r="264" spans="1:66" ht="15.75" x14ac:dyDescent="0.2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</row>
    <row r="265" spans="1:66" ht="15.75" x14ac:dyDescent="0.2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</row>
    <row r="266" spans="1:66" ht="15.75" x14ac:dyDescent="0.2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</row>
    <row r="267" spans="1:66" ht="15.75" x14ac:dyDescent="0.2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</row>
    <row r="268" spans="1:66" ht="15.75" x14ac:dyDescent="0.2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</row>
    <row r="269" spans="1:66" ht="15.75" x14ac:dyDescent="0.2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</row>
    <row r="270" spans="1:66" ht="15.75" x14ac:dyDescent="0.2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</row>
    <row r="271" spans="1:66" ht="15.75" x14ac:dyDescent="0.2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</row>
    <row r="272" spans="1:66" ht="15.75" x14ac:dyDescent="0.2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</row>
    <row r="273" spans="1:66" ht="15.75" x14ac:dyDescent="0.2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</row>
    <row r="274" spans="1:66" ht="15.75" x14ac:dyDescent="0.2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</row>
    <row r="275" spans="1:66" ht="15.75" x14ac:dyDescent="0.2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</row>
    <row r="276" spans="1:66" ht="15.75" x14ac:dyDescent="0.2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</row>
    <row r="277" spans="1:66" ht="15.75" x14ac:dyDescent="0.2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</row>
    <row r="278" spans="1:66" ht="15.75" x14ac:dyDescent="0.2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</row>
    <row r="279" spans="1:66" ht="15.75" x14ac:dyDescent="0.2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</row>
    <row r="280" spans="1:66" ht="15.75" x14ac:dyDescent="0.2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</row>
    <row r="281" spans="1:66" ht="15.75" x14ac:dyDescent="0.2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</row>
    <row r="282" spans="1:66" ht="15.75" x14ac:dyDescent="0.2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  <c r="AU282" s="22"/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</row>
    <row r="283" spans="1:66" ht="15.75" x14ac:dyDescent="0.2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  <c r="AS283" s="22"/>
      <c r="AT283" s="22"/>
      <c r="AU283" s="22"/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</row>
    <row r="284" spans="1:66" ht="15.75" x14ac:dyDescent="0.2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2"/>
      <c r="AR284" s="22"/>
      <c r="AS284" s="22"/>
      <c r="AT284" s="22"/>
      <c r="AU284" s="22"/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</row>
    <row r="285" spans="1:66" ht="15.75" x14ac:dyDescent="0.2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  <c r="AU285" s="22"/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</row>
    <row r="286" spans="1:66" ht="15.75" x14ac:dyDescent="0.2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</row>
    <row r="287" spans="1:66" ht="15.75" x14ac:dyDescent="0.2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  <c r="AU287" s="22"/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</row>
    <row r="288" spans="1:66" ht="15.75" x14ac:dyDescent="0.2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  <c r="AS288" s="22"/>
      <c r="AT288" s="22"/>
      <c r="AU288" s="22"/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</row>
    <row r="289" spans="1:66" ht="15.75" x14ac:dyDescent="0.2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  <c r="AS289" s="22"/>
      <c r="AT289" s="22"/>
      <c r="AU289" s="22"/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</row>
    <row r="290" spans="1:66" ht="15.75" x14ac:dyDescent="0.2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  <c r="AS290" s="22"/>
      <c r="AT290" s="22"/>
      <c r="AU290" s="22"/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</row>
    <row r="291" spans="1:66" ht="15.75" x14ac:dyDescent="0.2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</row>
    <row r="292" spans="1:66" ht="15.75" x14ac:dyDescent="0.2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  <c r="AU292" s="22"/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</row>
    <row r="293" spans="1:66" ht="15.75" x14ac:dyDescent="0.2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  <c r="AS293" s="22"/>
      <c r="AT293" s="22"/>
      <c r="AU293" s="22"/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</row>
    <row r="294" spans="1:66" ht="15.75" x14ac:dyDescent="0.2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  <c r="AU294" s="22"/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</row>
    <row r="295" spans="1:66" ht="15.75" x14ac:dyDescent="0.2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  <c r="AR295" s="22"/>
      <c r="AS295" s="22"/>
      <c r="AT295" s="22"/>
      <c r="AU295" s="22"/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</row>
    <row r="296" spans="1:66" ht="15.75" x14ac:dyDescent="0.2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2"/>
      <c r="AR296" s="22"/>
      <c r="AS296" s="22"/>
      <c r="AT296" s="22"/>
      <c r="AU296" s="22"/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</row>
    <row r="297" spans="1:66" ht="15.75" x14ac:dyDescent="0.2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</row>
    <row r="298" spans="1:66" ht="15.75" x14ac:dyDescent="0.2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  <c r="AR298" s="22"/>
      <c r="AS298" s="22"/>
      <c r="AT298" s="22"/>
      <c r="AU298" s="22"/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</row>
    <row r="299" spans="1:66" ht="15.75" x14ac:dyDescent="0.2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</row>
    <row r="300" spans="1:66" ht="15.75" x14ac:dyDescent="0.2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  <c r="AR300" s="22"/>
      <c r="AS300" s="22"/>
      <c r="AT300" s="22"/>
      <c r="AU300" s="22"/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</row>
    <row r="301" spans="1:66" ht="15.75" x14ac:dyDescent="0.2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  <c r="AR301" s="22"/>
      <c r="AS301" s="22"/>
      <c r="AT301" s="22"/>
      <c r="AU301" s="22"/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</row>
    <row r="302" spans="1:66" ht="15.75" x14ac:dyDescent="0.2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</row>
    <row r="303" spans="1:66" ht="15.75" x14ac:dyDescent="0.2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2"/>
      <c r="AR303" s="22"/>
      <c r="AS303" s="22"/>
      <c r="AT303" s="22"/>
      <c r="AU303" s="22"/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</row>
    <row r="304" spans="1:66" ht="15.75" x14ac:dyDescent="0.2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</row>
    <row r="305" spans="1:66" ht="15.75" x14ac:dyDescent="0.2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2"/>
      <c r="AR305" s="22"/>
      <c r="AS305" s="22"/>
      <c r="AT305" s="22"/>
      <c r="AU305" s="22"/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</row>
    <row r="306" spans="1:66" ht="15.75" x14ac:dyDescent="0.2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2"/>
      <c r="AR306" s="22"/>
      <c r="AS306" s="22"/>
      <c r="AT306" s="22"/>
      <c r="AU306" s="22"/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</row>
    <row r="307" spans="1:66" ht="15.75" x14ac:dyDescent="0.2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2"/>
      <c r="AR307" s="22"/>
      <c r="AS307" s="22"/>
      <c r="AT307" s="22"/>
      <c r="AU307" s="22"/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</row>
    <row r="308" spans="1:66" ht="15.75" x14ac:dyDescent="0.2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  <c r="AR308" s="22"/>
      <c r="AS308" s="22"/>
      <c r="AT308" s="22"/>
      <c r="AU308" s="22"/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</row>
    <row r="309" spans="1:66" ht="15.75" x14ac:dyDescent="0.2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2"/>
      <c r="AR309" s="22"/>
      <c r="AS309" s="22"/>
      <c r="AT309" s="22"/>
      <c r="AU309" s="22"/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</row>
    <row r="310" spans="1:66" ht="15.75" x14ac:dyDescent="0.2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  <c r="AR310" s="22"/>
      <c r="AS310" s="22"/>
      <c r="AT310" s="22"/>
      <c r="AU310" s="22"/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</row>
    <row r="311" spans="1:66" ht="15.75" x14ac:dyDescent="0.2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  <c r="AR311" s="22"/>
      <c r="AS311" s="22"/>
      <c r="AT311" s="22"/>
      <c r="AU311" s="22"/>
      <c r="AV311" s="22"/>
      <c r="AW311" s="22"/>
      <c r="AX311" s="22"/>
      <c r="AY311" s="22"/>
      <c r="AZ311" s="22"/>
      <c r="BA311" s="22"/>
      <c r="BB311" s="22"/>
      <c r="BC311" s="22"/>
      <c r="BD311" s="22"/>
      <c r="BE311" s="22"/>
      <c r="BF311" s="22"/>
      <c r="BG311" s="22"/>
      <c r="BH311" s="22"/>
      <c r="BI311" s="22"/>
      <c r="BJ311" s="22"/>
      <c r="BK311" s="22"/>
      <c r="BL311" s="22"/>
      <c r="BM311" s="22"/>
      <c r="BN311" s="22"/>
    </row>
    <row r="312" spans="1:66" ht="15.75" x14ac:dyDescent="0.2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  <c r="AU312" s="22"/>
      <c r="AV312" s="22"/>
      <c r="AW312" s="22"/>
      <c r="AX312" s="22"/>
      <c r="AY312" s="22"/>
      <c r="AZ312" s="22"/>
      <c r="BA312" s="22"/>
      <c r="BB312" s="22"/>
      <c r="BC312" s="22"/>
      <c r="BD312" s="22"/>
      <c r="BE312" s="22"/>
      <c r="BF312" s="22"/>
      <c r="BG312" s="22"/>
      <c r="BH312" s="22"/>
      <c r="BI312" s="22"/>
      <c r="BJ312" s="22"/>
      <c r="BK312" s="22"/>
      <c r="BL312" s="22"/>
      <c r="BM312" s="22"/>
      <c r="BN312" s="22"/>
    </row>
    <row r="313" spans="1:66" ht="15.75" x14ac:dyDescent="0.2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  <c r="AR313" s="22"/>
      <c r="AS313" s="22"/>
      <c r="AT313" s="22"/>
      <c r="AU313" s="22"/>
      <c r="AV313" s="22"/>
      <c r="AW313" s="22"/>
      <c r="AX313" s="22"/>
      <c r="AY313" s="22"/>
      <c r="AZ313" s="22"/>
      <c r="BA313" s="22"/>
      <c r="BB313" s="22"/>
      <c r="BC313" s="22"/>
      <c r="BD313" s="22"/>
      <c r="BE313" s="22"/>
      <c r="BF313" s="22"/>
      <c r="BG313" s="22"/>
      <c r="BH313" s="22"/>
      <c r="BI313" s="22"/>
      <c r="BJ313" s="22"/>
      <c r="BK313" s="22"/>
      <c r="BL313" s="22"/>
      <c r="BM313" s="22"/>
      <c r="BN313" s="22"/>
    </row>
    <row r="314" spans="1:66" ht="15.75" x14ac:dyDescent="0.2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2"/>
      <c r="AR314" s="22"/>
      <c r="AS314" s="22"/>
      <c r="AT314" s="22"/>
      <c r="AU314" s="22"/>
      <c r="AV314" s="22"/>
      <c r="AW314" s="22"/>
      <c r="AX314" s="22"/>
      <c r="AY314" s="22"/>
      <c r="AZ314" s="22"/>
      <c r="BA314" s="22"/>
      <c r="BB314" s="22"/>
      <c r="BC314" s="22"/>
      <c r="BD314" s="22"/>
      <c r="BE314" s="22"/>
      <c r="BF314" s="22"/>
      <c r="BG314" s="22"/>
      <c r="BH314" s="22"/>
      <c r="BI314" s="22"/>
      <c r="BJ314" s="22"/>
      <c r="BK314" s="22"/>
      <c r="BL314" s="22"/>
      <c r="BM314" s="22"/>
      <c r="BN314" s="22"/>
    </row>
    <row r="315" spans="1:66" ht="15.75" x14ac:dyDescent="0.2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2"/>
      <c r="AR315" s="22"/>
      <c r="AS315" s="22"/>
      <c r="AT315" s="22"/>
      <c r="AU315" s="22"/>
      <c r="AV315" s="22"/>
      <c r="AW315" s="22"/>
      <c r="AX315" s="22"/>
      <c r="AY315" s="22"/>
      <c r="AZ315" s="22"/>
      <c r="BA315" s="22"/>
      <c r="BB315" s="22"/>
      <c r="BC315" s="22"/>
      <c r="BD315" s="22"/>
      <c r="BE315" s="22"/>
      <c r="BF315" s="22"/>
      <c r="BG315" s="22"/>
      <c r="BH315" s="22"/>
      <c r="BI315" s="22"/>
      <c r="BJ315" s="22"/>
      <c r="BK315" s="22"/>
      <c r="BL315" s="22"/>
      <c r="BM315" s="22"/>
      <c r="BN315" s="22"/>
    </row>
    <row r="316" spans="1:66" ht="15.75" x14ac:dyDescent="0.2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2"/>
      <c r="AR316" s="22"/>
      <c r="AS316" s="22"/>
      <c r="AT316" s="22"/>
      <c r="AU316" s="22"/>
      <c r="AV316" s="22"/>
      <c r="AW316" s="22"/>
      <c r="AX316" s="22"/>
      <c r="AY316" s="22"/>
      <c r="AZ316" s="22"/>
      <c r="BA316" s="22"/>
      <c r="BB316" s="22"/>
      <c r="BC316" s="22"/>
      <c r="BD316" s="22"/>
      <c r="BE316" s="22"/>
      <c r="BF316" s="22"/>
      <c r="BG316" s="22"/>
      <c r="BH316" s="22"/>
      <c r="BI316" s="22"/>
      <c r="BJ316" s="22"/>
      <c r="BK316" s="22"/>
      <c r="BL316" s="22"/>
      <c r="BM316" s="22"/>
      <c r="BN316" s="22"/>
    </row>
    <row r="317" spans="1:66" ht="15.75" x14ac:dyDescent="0.2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  <c r="AR317" s="22"/>
      <c r="AS317" s="22"/>
      <c r="AT317" s="22"/>
      <c r="AU317" s="22"/>
      <c r="AV317" s="22"/>
      <c r="AW317" s="22"/>
      <c r="AX317" s="22"/>
      <c r="AY317" s="22"/>
      <c r="AZ317" s="22"/>
      <c r="BA317" s="22"/>
      <c r="BB317" s="22"/>
      <c r="BC317" s="22"/>
      <c r="BD317" s="22"/>
      <c r="BE317" s="22"/>
      <c r="BF317" s="22"/>
      <c r="BG317" s="22"/>
      <c r="BH317" s="22"/>
      <c r="BI317" s="22"/>
      <c r="BJ317" s="22"/>
      <c r="BK317" s="22"/>
      <c r="BL317" s="22"/>
      <c r="BM317" s="22"/>
      <c r="BN317" s="22"/>
    </row>
    <row r="318" spans="1:66" ht="15.75" x14ac:dyDescent="0.2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22"/>
      <c r="AV318" s="22"/>
      <c r="AW318" s="22"/>
      <c r="AX318" s="22"/>
      <c r="AY318" s="22"/>
      <c r="AZ318" s="22"/>
      <c r="BA318" s="22"/>
      <c r="BB318" s="22"/>
      <c r="BC318" s="22"/>
      <c r="BD318" s="22"/>
      <c r="BE318" s="22"/>
      <c r="BF318" s="22"/>
      <c r="BG318" s="22"/>
      <c r="BH318" s="22"/>
      <c r="BI318" s="22"/>
      <c r="BJ318" s="22"/>
      <c r="BK318" s="22"/>
      <c r="BL318" s="22"/>
      <c r="BM318" s="22"/>
      <c r="BN318" s="22"/>
    </row>
    <row r="319" spans="1:66" ht="15.75" x14ac:dyDescent="0.2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  <c r="AU319" s="22"/>
      <c r="AV319" s="22"/>
      <c r="AW319" s="22"/>
      <c r="AX319" s="22"/>
      <c r="AY319" s="22"/>
      <c r="AZ319" s="22"/>
      <c r="BA319" s="22"/>
      <c r="BB319" s="22"/>
      <c r="BC319" s="22"/>
      <c r="BD319" s="22"/>
      <c r="BE319" s="22"/>
      <c r="BF319" s="22"/>
      <c r="BG319" s="22"/>
      <c r="BH319" s="22"/>
      <c r="BI319" s="22"/>
      <c r="BJ319" s="22"/>
      <c r="BK319" s="22"/>
      <c r="BL319" s="22"/>
      <c r="BM319" s="22"/>
      <c r="BN319" s="22"/>
    </row>
    <row r="320" spans="1:66" ht="15.75" x14ac:dyDescent="0.2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  <c r="AU320" s="22"/>
      <c r="AV320" s="22"/>
      <c r="AW320" s="22"/>
      <c r="AX320" s="22"/>
      <c r="AY320" s="22"/>
      <c r="AZ320" s="22"/>
      <c r="BA320" s="22"/>
      <c r="BB320" s="22"/>
      <c r="BC320" s="22"/>
      <c r="BD320" s="22"/>
      <c r="BE320" s="22"/>
      <c r="BF320" s="22"/>
      <c r="BG320" s="22"/>
      <c r="BH320" s="22"/>
      <c r="BI320" s="22"/>
      <c r="BJ320" s="22"/>
      <c r="BK320" s="22"/>
      <c r="BL320" s="22"/>
      <c r="BM320" s="22"/>
      <c r="BN320" s="22"/>
    </row>
    <row r="321" spans="1:66" ht="15.75" x14ac:dyDescent="0.2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</row>
    <row r="322" spans="1:66" ht="15.75" x14ac:dyDescent="0.2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W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M322" s="22"/>
      <c r="BN322" s="22"/>
    </row>
    <row r="323" spans="1:66" ht="15.75" x14ac:dyDescent="0.2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  <c r="AR323" s="22"/>
      <c r="AS323" s="22"/>
      <c r="AT323" s="22"/>
      <c r="AU323" s="22"/>
      <c r="AV323" s="22"/>
      <c r="AW323" s="22"/>
      <c r="AX323" s="22"/>
      <c r="AY323" s="22"/>
      <c r="AZ323" s="22"/>
      <c r="BA323" s="22"/>
      <c r="BB323" s="22"/>
      <c r="BC323" s="22"/>
      <c r="BD323" s="22"/>
      <c r="BE323" s="22"/>
      <c r="BF323" s="22"/>
      <c r="BG323" s="22"/>
      <c r="BH323" s="22"/>
      <c r="BI323" s="22"/>
      <c r="BJ323" s="22"/>
      <c r="BK323" s="22"/>
      <c r="BL323" s="22"/>
      <c r="BM323" s="22"/>
      <c r="BN323" s="22"/>
    </row>
    <row r="324" spans="1:66" ht="15.75" x14ac:dyDescent="0.2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  <c r="AR324" s="22"/>
      <c r="AS324" s="22"/>
      <c r="AT324" s="22"/>
      <c r="AU324" s="22"/>
      <c r="AV324" s="22"/>
      <c r="AW324" s="22"/>
      <c r="AX324" s="22"/>
      <c r="AY324" s="22"/>
      <c r="AZ324" s="22"/>
      <c r="BA324" s="22"/>
      <c r="BB324" s="22"/>
      <c r="BC324" s="22"/>
      <c r="BD324" s="22"/>
      <c r="BE324" s="22"/>
      <c r="BF324" s="22"/>
      <c r="BG324" s="22"/>
      <c r="BH324" s="22"/>
      <c r="BI324" s="22"/>
      <c r="BJ324" s="22"/>
      <c r="BK324" s="22"/>
      <c r="BL324" s="22"/>
      <c r="BM324" s="22"/>
      <c r="BN324" s="22"/>
    </row>
    <row r="325" spans="1:66" ht="15.75" x14ac:dyDescent="0.2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  <c r="AR325" s="22"/>
      <c r="AS325" s="22"/>
      <c r="AT325" s="22"/>
      <c r="AU325" s="22"/>
      <c r="AV325" s="22"/>
      <c r="AW325" s="22"/>
      <c r="AX325" s="22"/>
      <c r="AY325" s="22"/>
      <c r="AZ325" s="22"/>
      <c r="BA325" s="22"/>
      <c r="BB325" s="22"/>
      <c r="BC325" s="22"/>
      <c r="BD325" s="22"/>
      <c r="BE325" s="22"/>
      <c r="BF325" s="22"/>
      <c r="BG325" s="22"/>
      <c r="BH325" s="22"/>
      <c r="BI325" s="22"/>
      <c r="BJ325" s="22"/>
      <c r="BK325" s="22"/>
      <c r="BL325" s="22"/>
      <c r="BM325" s="22"/>
      <c r="BN325" s="22"/>
    </row>
    <row r="326" spans="1:66" ht="15.75" x14ac:dyDescent="0.2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  <c r="AR326" s="22"/>
      <c r="AS326" s="22"/>
      <c r="AT326" s="22"/>
      <c r="AU326" s="22"/>
      <c r="AV326" s="22"/>
      <c r="AW326" s="22"/>
      <c r="AX326" s="22"/>
      <c r="AY326" s="22"/>
      <c r="AZ326" s="22"/>
      <c r="BA326" s="22"/>
      <c r="BB326" s="22"/>
      <c r="BC326" s="22"/>
      <c r="BD326" s="22"/>
      <c r="BE326" s="22"/>
      <c r="BF326" s="22"/>
      <c r="BG326" s="22"/>
      <c r="BH326" s="22"/>
      <c r="BI326" s="22"/>
      <c r="BJ326" s="22"/>
      <c r="BK326" s="22"/>
      <c r="BL326" s="22"/>
      <c r="BM326" s="22"/>
      <c r="BN326" s="22"/>
    </row>
    <row r="327" spans="1:66" ht="15.75" x14ac:dyDescent="0.2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2"/>
      <c r="AR327" s="22"/>
      <c r="AS327" s="22"/>
      <c r="AT327" s="22"/>
      <c r="AU327" s="22"/>
      <c r="AV327" s="22"/>
      <c r="AW327" s="22"/>
      <c r="AX327" s="22"/>
      <c r="AY327" s="22"/>
      <c r="AZ327" s="22"/>
      <c r="BA327" s="22"/>
      <c r="BB327" s="22"/>
      <c r="BC327" s="22"/>
      <c r="BD327" s="22"/>
      <c r="BE327" s="22"/>
      <c r="BF327" s="22"/>
      <c r="BG327" s="22"/>
      <c r="BH327" s="22"/>
      <c r="BI327" s="22"/>
      <c r="BJ327" s="22"/>
      <c r="BK327" s="22"/>
      <c r="BL327" s="22"/>
      <c r="BM327" s="22"/>
      <c r="BN327" s="22"/>
    </row>
    <row r="328" spans="1:66" ht="15.75" x14ac:dyDescent="0.2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2"/>
      <c r="AR328" s="22"/>
      <c r="AS328" s="22"/>
      <c r="AT328" s="22"/>
      <c r="AU328" s="22"/>
      <c r="AV328" s="22"/>
      <c r="AW328" s="22"/>
      <c r="AX328" s="22"/>
      <c r="AY328" s="22"/>
      <c r="AZ328" s="22"/>
      <c r="BA328" s="22"/>
      <c r="BB328" s="22"/>
      <c r="BC328" s="22"/>
      <c r="BD328" s="22"/>
      <c r="BE328" s="22"/>
      <c r="BF328" s="22"/>
      <c r="BG328" s="22"/>
      <c r="BH328" s="22"/>
      <c r="BI328" s="22"/>
      <c r="BJ328" s="22"/>
      <c r="BK328" s="22"/>
      <c r="BL328" s="22"/>
      <c r="BM328" s="22"/>
      <c r="BN328" s="22"/>
    </row>
    <row r="329" spans="1:66" ht="15.75" x14ac:dyDescent="0.2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2"/>
      <c r="AR329" s="22"/>
      <c r="AS329" s="22"/>
      <c r="AT329" s="22"/>
      <c r="AU329" s="22"/>
      <c r="AV329" s="22"/>
      <c r="AW329" s="22"/>
      <c r="AX329" s="22"/>
      <c r="AY329" s="22"/>
      <c r="AZ329" s="22"/>
      <c r="BA329" s="22"/>
      <c r="BB329" s="22"/>
      <c r="BC329" s="22"/>
      <c r="BD329" s="22"/>
      <c r="BE329" s="22"/>
      <c r="BF329" s="22"/>
      <c r="BG329" s="22"/>
      <c r="BH329" s="22"/>
      <c r="BI329" s="22"/>
      <c r="BJ329" s="22"/>
      <c r="BK329" s="22"/>
      <c r="BL329" s="22"/>
      <c r="BM329" s="22"/>
      <c r="BN329" s="22"/>
    </row>
    <row r="330" spans="1:66" ht="15.75" x14ac:dyDescent="0.2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2"/>
      <c r="AR330" s="22"/>
      <c r="AS330" s="22"/>
      <c r="AT330" s="22"/>
      <c r="AU330" s="22"/>
      <c r="AV330" s="22"/>
      <c r="AW330" s="22"/>
      <c r="AX330" s="22"/>
      <c r="AY330" s="22"/>
      <c r="AZ330" s="22"/>
      <c r="BA330" s="22"/>
      <c r="BB330" s="22"/>
      <c r="BC330" s="22"/>
      <c r="BD330" s="22"/>
      <c r="BE330" s="22"/>
      <c r="BF330" s="22"/>
      <c r="BG330" s="22"/>
      <c r="BH330" s="22"/>
      <c r="BI330" s="22"/>
      <c r="BJ330" s="22"/>
      <c r="BK330" s="22"/>
      <c r="BL330" s="22"/>
      <c r="BM330" s="22"/>
      <c r="BN330" s="22"/>
    </row>
    <row r="331" spans="1:66" ht="15.75" x14ac:dyDescent="0.2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2"/>
      <c r="AR331" s="22"/>
      <c r="AS331" s="22"/>
      <c r="AT331" s="22"/>
      <c r="AU331" s="22"/>
      <c r="AV331" s="22"/>
      <c r="AW331" s="22"/>
      <c r="AX331" s="22"/>
      <c r="AY331" s="22"/>
      <c r="AZ331" s="22"/>
      <c r="BA331" s="22"/>
      <c r="BB331" s="22"/>
      <c r="BC331" s="22"/>
      <c r="BD331" s="22"/>
      <c r="BE331" s="22"/>
      <c r="BF331" s="22"/>
      <c r="BG331" s="22"/>
      <c r="BH331" s="22"/>
      <c r="BI331" s="22"/>
      <c r="BJ331" s="22"/>
      <c r="BK331" s="22"/>
      <c r="BL331" s="22"/>
      <c r="BM331" s="22"/>
      <c r="BN331" s="22"/>
    </row>
    <row r="332" spans="1:66" ht="15.75" x14ac:dyDescent="0.2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2"/>
      <c r="BB332" s="22"/>
      <c r="BC332" s="22"/>
      <c r="BD332" s="22"/>
      <c r="BE332" s="22"/>
      <c r="BF332" s="22"/>
      <c r="BG332" s="22"/>
      <c r="BH332" s="22"/>
      <c r="BI332" s="22"/>
      <c r="BJ332" s="22"/>
      <c r="BK332" s="22"/>
      <c r="BL332" s="22"/>
      <c r="BM332" s="22"/>
      <c r="BN332" s="22"/>
    </row>
    <row r="333" spans="1:66" ht="15.75" x14ac:dyDescent="0.2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2"/>
      <c r="BA333" s="22"/>
      <c r="BB333" s="22"/>
      <c r="BC333" s="22"/>
      <c r="BD333" s="22"/>
      <c r="BE333" s="22"/>
      <c r="BF333" s="22"/>
      <c r="BG333" s="22"/>
      <c r="BH333" s="22"/>
      <c r="BI333" s="22"/>
      <c r="BJ333" s="22"/>
      <c r="BK333" s="22"/>
      <c r="BL333" s="22"/>
      <c r="BM333" s="22"/>
      <c r="BN333" s="22"/>
    </row>
    <row r="334" spans="1:66" ht="15.75" x14ac:dyDescent="0.2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2"/>
      <c r="AR334" s="22"/>
      <c r="AS334" s="22"/>
      <c r="AT334" s="22"/>
      <c r="AU334" s="22"/>
      <c r="AV334" s="22"/>
      <c r="AW334" s="22"/>
      <c r="AX334" s="22"/>
      <c r="AY334" s="22"/>
      <c r="AZ334" s="22"/>
      <c r="BA334" s="22"/>
      <c r="BB334" s="22"/>
      <c r="BC334" s="22"/>
      <c r="BD334" s="22"/>
      <c r="BE334" s="22"/>
      <c r="BF334" s="22"/>
      <c r="BG334" s="22"/>
      <c r="BH334" s="22"/>
      <c r="BI334" s="22"/>
      <c r="BJ334" s="22"/>
      <c r="BK334" s="22"/>
      <c r="BL334" s="22"/>
      <c r="BM334" s="22"/>
      <c r="BN334" s="22"/>
    </row>
    <row r="335" spans="1:66" ht="15.75" x14ac:dyDescent="0.2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2"/>
      <c r="AR335" s="22"/>
      <c r="AS335" s="22"/>
      <c r="AT335" s="22"/>
      <c r="AU335" s="22"/>
      <c r="AV335" s="22"/>
      <c r="AW335" s="22"/>
      <c r="AX335" s="22"/>
      <c r="AY335" s="22"/>
      <c r="AZ335" s="22"/>
      <c r="BA335" s="22"/>
      <c r="BB335" s="22"/>
      <c r="BC335" s="22"/>
      <c r="BD335" s="22"/>
      <c r="BE335" s="22"/>
      <c r="BF335" s="22"/>
      <c r="BG335" s="22"/>
      <c r="BH335" s="22"/>
      <c r="BI335" s="22"/>
      <c r="BJ335" s="22"/>
      <c r="BK335" s="22"/>
      <c r="BL335" s="22"/>
      <c r="BM335" s="22"/>
      <c r="BN335" s="22"/>
    </row>
    <row r="336" spans="1:66" ht="15.75" x14ac:dyDescent="0.2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2"/>
      <c r="AR336" s="22"/>
      <c r="AS336" s="22"/>
      <c r="AT336" s="22"/>
      <c r="AU336" s="22"/>
      <c r="AV336" s="22"/>
      <c r="AW336" s="22"/>
      <c r="AX336" s="22"/>
      <c r="AY336" s="22"/>
      <c r="AZ336" s="22"/>
      <c r="BA336" s="22"/>
      <c r="BB336" s="22"/>
      <c r="BC336" s="22"/>
      <c r="BD336" s="22"/>
      <c r="BE336" s="22"/>
      <c r="BF336" s="22"/>
      <c r="BG336" s="22"/>
      <c r="BH336" s="22"/>
      <c r="BI336" s="22"/>
      <c r="BJ336" s="22"/>
      <c r="BK336" s="22"/>
      <c r="BL336" s="22"/>
      <c r="BM336" s="22"/>
      <c r="BN336" s="22"/>
    </row>
    <row r="337" spans="1:66" ht="15.75" x14ac:dyDescent="0.2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  <c r="AQ337" s="22"/>
      <c r="AR337" s="22"/>
      <c r="AS337" s="22"/>
      <c r="AT337" s="22"/>
      <c r="AU337" s="22"/>
      <c r="AV337" s="22"/>
      <c r="AW337" s="22"/>
      <c r="AX337" s="22"/>
      <c r="AY337" s="22"/>
      <c r="AZ337" s="22"/>
      <c r="BA337" s="22"/>
      <c r="BB337" s="22"/>
      <c r="BC337" s="22"/>
      <c r="BD337" s="22"/>
      <c r="BE337" s="22"/>
      <c r="BF337" s="22"/>
      <c r="BG337" s="22"/>
      <c r="BH337" s="22"/>
      <c r="BI337" s="22"/>
      <c r="BJ337" s="22"/>
      <c r="BK337" s="22"/>
      <c r="BL337" s="22"/>
      <c r="BM337" s="22"/>
      <c r="BN337" s="22"/>
    </row>
    <row r="338" spans="1:66" ht="15.75" x14ac:dyDescent="0.2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  <c r="AQ338" s="22"/>
      <c r="AR338" s="22"/>
      <c r="AS338" s="22"/>
      <c r="AT338" s="22"/>
      <c r="AU338" s="22"/>
      <c r="AV338" s="22"/>
      <c r="AW338" s="22"/>
      <c r="AX338" s="22"/>
      <c r="AY338" s="22"/>
      <c r="AZ338" s="22"/>
      <c r="BA338" s="22"/>
      <c r="BB338" s="22"/>
      <c r="BC338" s="22"/>
      <c r="BD338" s="22"/>
      <c r="BE338" s="22"/>
      <c r="BF338" s="22"/>
      <c r="BG338" s="22"/>
      <c r="BH338" s="22"/>
      <c r="BI338" s="22"/>
      <c r="BJ338" s="22"/>
      <c r="BK338" s="22"/>
      <c r="BL338" s="22"/>
      <c r="BM338" s="22"/>
      <c r="BN338" s="22"/>
    </row>
    <row r="339" spans="1:66" ht="15.75" x14ac:dyDescent="0.2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  <c r="AQ339" s="22"/>
      <c r="AR339" s="22"/>
      <c r="AS339" s="22"/>
      <c r="AT339" s="22"/>
      <c r="AU339" s="22"/>
      <c r="AV339" s="22"/>
      <c r="AW339" s="22"/>
      <c r="AX339" s="22"/>
      <c r="AY339" s="22"/>
      <c r="AZ339" s="22"/>
      <c r="BA339" s="22"/>
      <c r="BB339" s="22"/>
      <c r="BC339" s="22"/>
      <c r="BD339" s="22"/>
      <c r="BE339" s="22"/>
      <c r="BF339" s="22"/>
      <c r="BG339" s="22"/>
      <c r="BH339" s="22"/>
      <c r="BI339" s="22"/>
      <c r="BJ339" s="22"/>
      <c r="BK339" s="22"/>
      <c r="BL339" s="22"/>
      <c r="BM339" s="22"/>
      <c r="BN339" s="22"/>
    </row>
    <row r="340" spans="1:66" ht="15.75" x14ac:dyDescent="0.2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  <c r="AQ340" s="22"/>
      <c r="AR340" s="22"/>
      <c r="AS340" s="22"/>
      <c r="AT340" s="22"/>
      <c r="AU340" s="22"/>
      <c r="AV340" s="22"/>
      <c r="AW340" s="22"/>
      <c r="AX340" s="22"/>
      <c r="AY340" s="22"/>
      <c r="AZ340" s="22"/>
      <c r="BA340" s="22"/>
      <c r="BB340" s="22"/>
      <c r="BC340" s="22"/>
      <c r="BD340" s="22"/>
      <c r="BE340" s="22"/>
      <c r="BF340" s="22"/>
      <c r="BG340" s="22"/>
      <c r="BH340" s="22"/>
      <c r="BI340" s="22"/>
      <c r="BJ340" s="22"/>
      <c r="BK340" s="22"/>
      <c r="BL340" s="22"/>
      <c r="BM340" s="22"/>
      <c r="BN340" s="22"/>
    </row>
    <row r="341" spans="1:66" ht="15.75" x14ac:dyDescent="0.2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  <c r="AQ341" s="22"/>
      <c r="AR341" s="22"/>
      <c r="AS341" s="22"/>
      <c r="AT341" s="22"/>
      <c r="AU341" s="22"/>
      <c r="AV341" s="22"/>
      <c r="AW341" s="22"/>
      <c r="AX341" s="22"/>
      <c r="AY341" s="22"/>
      <c r="AZ341" s="22"/>
      <c r="BA341" s="22"/>
      <c r="BB341" s="22"/>
      <c r="BC341" s="22"/>
      <c r="BD341" s="22"/>
      <c r="BE341" s="22"/>
      <c r="BF341" s="22"/>
      <c r="BG341" s="22"/>
      <c r="BH341" s="22"/>
      <c r="BI341" s="22"/>
      <c r="BJ341" s="22"/>
      <c r="BK341" s="22"/>
      <c r="BL341" s="22"/>
      <c r="BM341" s="22"/>
      <c r="BN341" s="22"/>
    </row>
    <row r="342" spans="1:66" ht="15.75" x14ac:dyDescent="0.2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  <c r="AQ342" s="22"/>
      <c r="AR342" s="22"/>
      <c r="AS342" s="22"/>
      <c r="AT342" s="22"/>
      <c r="AU342" s="22"/>
      <c r="AV342" s="22"/>
      <c r="AW342" s="22"/>
      <c r="AX342" s="22"/>
      <c r="AY342" s="22"/>
      <c r="AZ342" s="22"/>
      <c r="BA342" s="22"/>
      <c r="BB342" s="22"/>
      <c r="BC342" s="22"/>
      <c r="BD342" s="22"/>
      <c r="BE342" s="22"/>
      <c r="BF342" s="22"/>
      <c r="BG342" s="22"/>
      <c r="BH342" s="22"/>
      <c r="BI342" s="22"/>
      <c r="BJ342" s="22"/>
      <c r="BK342" s="22"/>
      <c r="BL342" s="22"/>
      <c r="BM342" s="22"/>
      <c r="BN342" s="22"/>
    </row>
    <row r="343" spans="1:66" ht="15.75" x14ac:dyDescent="0.2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  <c r="AQ343" s="22"/>
      <c r="AR343" s="22"/>
      <c r="AS343" s="22"/>
      <c r="AT343" s="22"/>
      <c r="AU343" s="22"/>
      <c r="AV343" s="22"/>
      <c r="AW343" s="22"/>
      <c r="AX343" s="22"/>
      <c r="AY343" s="22"/>
      <c r="AZ343" s="22"/>
      <c r="BA343" s="22"/>
      <c r="BB343" s="22"/>
      <c r="BC343" s="22"/>
      <c r="BD343" s="22"/>
      <c r="BE343" s="22"/>
      <c r="BF343" s="22"/>
      <c r="BG343" s="22"/>
      <c r="BH343" s="22"/>
      <c r="BI343" s="22"/>
      <c r="BJ343" s="22"/>
      <c r="BK343" s="22"/>
      <c r="BL343" s="22"/>
      <c r="BM343" s="22"/>
      <c r="BN343" s="22"/>
    </row>
    <row r="344" spans="1:66" ht="15.75" x14ac:dyDescent="0.2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  <c r="AQ344" s="22"/>
      <c r="AR344" s="22"/>
      <c r="AS344" s="22"/>
      <c r="AT344" s="22"/>
      <c r="AU344" s="22"/>
      <c r="AV344" s="22"/>
      <c r="AW344" s="22"/>
      <c r="AX344" s="22"/>
      <c r="AY344" s="22"/>
      <c r="AZ344" s="22"/>
      <c r="BA344" s="22"/>
      <c r="BB344" s="22"/>
      <c r="BC344" s="22"/>
      <c r="BD344" s="22"/>
      <c r="BE344" s="22"/>
      <c r="BF344" s="22"/>
      <c r="BG344" s="22"/>
      <c r="BH344" s="22"/>
      <c r="BI344" s="22"/>
      <c r="BJ344" s="22"/>
      <c r="BK344" s="22"/>
      <c r="BL344" s="22"/>
      <c r="BM344" s="22"/>
      <c r="BN344" s="22"/>
    </row>
    <row r="345" spans="1:66" ht="15.75" x14ac:dyDescent="0.2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  <c r="AQ345" s="22"/>
      <c r="AR345" s="22"/>
      <c r="AS345" s="22"/>
      <c r="AT345" s="22"/>
      <c r="AU345" s="22"/>
      <c r="AV345" s="22"/>
      <c r="AW345" s="22"/>
      <c r="AX345" s="22"/>
      <c r="AY345" s="22"/>
      <c r="AZ345" s="22"/>
      <c r="BA345" s="22"/>
      <c r="BB345" s="22"/>
      <c r="BC345" s="22"/>
      <c r="BD345" s="22"/>
      <c r="BE345" s="22"/>
      <c r="BF345" s="22"/>
      <c r="BG345" s="22"/>
      <c r="BH345" s="22"/>
      <c r="BI345" s="22"/>
      <c r="BJ345" s="22"/>
      <c r="BK345" s="22"/>
      <c r="BL345" s="22"/>
      <c r="BM345" s="22"/>
      <c r="BN345" s="22"/>
    </row>
    <row r="346" spans="1:66" ht="15.75" x14ac:dyDescent="0.2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  <c r="AQ346" s="22"/>
      <c r="AR346" s="22"/>
      <c r="AS346" s="22"/>
      <c r="AT346" s="22"/>
      <c r="AU346" s="22"/>
      <c r="AV346" s="22"/>
      <c r="AW346" s="22"/>
      <c r="AX346" s="22"/>
      <c r="AY346" s="22"/>
      <c r="AZ346" s="22"/>
      <c r="BA346" s="22"/>
      <c r="BB346" s="22"/>
      <c r="BC346" s="22"/>
      <c r="BD346" s="22"/>
      <c r="BE346" s="22"/>
      <c r="BF346" s="22"/>
      <c r="BG346" s="22"/>
      <c r="BH346" s="22"/>
      <c r="BI346" s="22"/>
      <c r="BJ346" s="22"/>
      <c r="BK346" s="22"/>
      <c r="BL346" s="22"/>
      <c r="BM346" s="22"/>
      <c r="BN346" s="22"/>
    </row>
    <row r="347" spans="1:66" ht="15.75" x14ac:dyDescent="0.2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2"/>
      <c r="AR347" s="22"/>
      <c r="AS347" s="22"/>
      <c r="AT347" s="22"/>
      <c r="AU347" s="22"/>
      <c r="AV347" s="22"/>
      <c r="AW347" s="22"/>
      <c r="AX347" s="22"/>
      <c r="AY347" s="22"/>
      <c r="AZ347" s="22"/>
      <c r="BA347" s="22"/>
      <c r="BB347" s="22"/>
      <c r="BC347" s="22"/>
      <c r="BD347" s="22"/>
      <c r="BE347" s="22"/>
      <c r="BF347" s="22"/>
      <c r="BG347" s="22"/>
      <c r="BH347" s="22"/>
      <c r="BI347" s="22"/>
      <c r="BJ347" s="22"/>
      <c r="BK347" s="22"/>
      <c r="BL347" s="22"/>
      <c r="BM347" s="22"/>
      <c r="BN347" s="22"/>
    </row>
    <row r="348" spans="1:66" ht="15.75" x14ac:dyDescent="0.2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  <c r="AR348" s="22"/>
      <c r="AS348" s="22"/>
      <c r="AT348" s="22"/>
      <c r="AU348" s="22"/>
      <c r="AV348" s="22"/>
      <c r="AW348" s="22"/>
      <c r="AX348" s="22"/>
      <c r="AY348" s="22"/>
      <c r="AZ348" s="22"/>
      <c r="BA348" s="22"/>
      <c r="BB348" s="22"/>
      <c r="BC348" s="22"/>
      <c r="BD348" s="22"/>
      <c r="BE348" s="22"/>
      <c r="BF348" s="22"/>
      <c r="BG348" s="22"/>
      <c r="BH348" s="22"/>
      <c r="BI348" s="22"/>
      <c r="BJ348" s="22"/>
      <c r="BK348" s="22"/>
      <c r="BL348" s="22"/>
      <c r="BM348" s="22"/>
      <c r="BN348" s="22"/>
    </row>
    <row r="349" spans="1:66" ht="15.75" x14ac:dyDescent="0.2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2"/>
      <c r="AR349" s="22"/>
      <c r="AS349" s="22"/>
      <c r="AT349" s="22"/>
      <c r="AU349" s="22"/>
      <c r="AV349" s="22"/>
      <c r="AW349" s="22"/>
      <c r="AX349" s="22"/>
      <c r="AY349" s="22"/>
      <c r="AZ349" s="22"/>
      <c r="BA349" s="22"/>
      <c r="BB349" s="22"/>
      <c r="BC349" s="22"/>
      <c r="BD349" s="22"/>
      <c r="BE349" s="22"/>
      <c r="BF349" s="22"/>
      <c r="BG349" s="22"/>
      <c r="BH349" s="22"/>
      <c r="BI349" s="22"/>
      <c r="BJ349" s="22"/>
      <c r="BK349" s="22"/>
      <c r="BL349" s="22"/>
      <c r="BM349" s="22"/>
      <c r="BN349" s="22"/>
    </row>
    <row r="350" spans="1:66" ht="15.75" x14ac:dyDescent="0.2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2"/>
      <c r="AR350" s="22"/>
      <c r="AS350" s="22"/>
      <c r="AT350" s="22"/>
      <c r="AU350" s="22"/>
      <c r="AV350" s="22"/>
      <c r="AW350" s="22"/>
      <c r="AX350" s="22"/>
      <c r="AY350" s="22"/>
      <c r="AZ350" s="22"/>
      <c r="BA350" s="22"/>
      <c r="BB350" s="22"/>
      <c r="BC350" s="22"/>
      <c r="BD350" s="22"/>
      <c r="BE350" s="22"/>
      <c r="BF350" s="22"/>
      <c r="BG350" s="22"/>
      <c r="BH350" s="22"/>
      <c r="BI350" s="22"/>
      <c r="BJ350" s="22"/>
      <c r="BK350" s="22"/>
      <c r="BL350" s="22"/>
      <c r="BM350" s="22"/>
      <c r="BN350" s="22"/>
    </row>
    <row r="351" spans="1:66" ht="15.75" x14ac:dyDescent="0.2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  <c r="AQ351" s="22"/>
      <c r="AR351" s="22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</row>
    <row r="352" spans="1:66" ht="15.75" x14ac:dyDescent="0.2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2"/>
      <c r="AR352" s="22"/>
      <c r="AS352" s="22"/>
      <c r="AT352" s="22"/>
      <c r="AU352" s="22"/>
      <c r="AV352" s="22"/>
      <c r="AW352" s="22"/>
      <c r="AX352" s="22"/>
      <c r="AY352" s="22"/>
      <c r="AZ352" s="22"/>
      <c r="BA352" s="22"/>
      <c r="BB352" s="22"/>
      <c r="BC352" s="22"/>
      <c r="BD352" s="22"/>
      <c r="BE352" s="22"/>
      <c r="BF352" s="22"/>
      <c r="BG352" s="22"/>
      <c r="BH352" s="22"/>
      <c r="BI352" s="22"/>
      <c r="BJ352" s="22"/>
      <c r="BK352" s="22"/>
      <c r="BL352" s="22"/>
      <c r="BM352" s="22"/>
      <c r="BN352" s="22"/>
    </row>
    <row r="353" spans="1:66" ht="15.75" x14ac:dyDescent="0.2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2"/>
      <c r="AR353" s="22"/>
      <c r="AS353" s="22"/>
      <c r="AT353" s="22"/>
      <c r="AU353" s="22"/>
      <c r="AV353" s="22"/>
      <c r="AW353" s="22"/>
      <c r="AX353" s="22"/>
      <c r="AY353" s="22"/>
      <c r="AZ353" s="22"/>
      <c r="BA353" s="22"/>
      <c r="BB353" s="22"/>
      <c r="BC353" s="22"/>
      <c r="BD353" s="22"/>
      <c r="BE353" s="22"/>
      <c r="BF353" s="22"/>
      <c r="BG353" s="22"/>
      <c r="BH353" s="22"/>
      <c r="BI353" s="22"/>
      <c r="BJ353" s="22"/>
      <c r="BK353" s="22"/>
      <c r="BL353" s="22"/>
      <c r="BM353" s="22"/>
      <c r="BN353" s="22"/>
    </row>
    <row r="354" spans="1:66" ht="15.75" x14ac:dyDescent="0.2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2"/>
      <c r="AR354" s="22"/>
      <c r="AS354" s="22"/>
      <c r="AT354" s="22"/>
      <c r="AU354" s="22"/>
      <c r="AV354" s="22"/>
      <c r="AW354" s="22"/>
      <c r="AX354" s="22"/>
      <c r="AY354" s="22"/>
      <c r="AZ354" s="22"/>
      <c r="BA354" s="22"/>
      <c r="BB354" s="22"/>
      <c r="BC354" s="22"/>
      <c r="BD354" s="22"/>
      <c r="BE354" s="22"/>
      <c r="BF354" s="22"/>
      <c r="BG354" s="22"/>
      <c r="BH354" s="22"/>
      <c r="BI354" s="22"/>
      <c r="BJ354" s="22"/>
      <c r="BK354" s="22"/>
      <c r="BL354" s="22"/>
      <c r="BM354" s="22"/>
      <c r="BN354" s="22"/>
    </row>
    <row r="355" spans="1:66" ht="15.75" x14ac:dyDescent="0.2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  <c r="AQ355" s="22"/>
      <c r="AR355" s="22"/>
      <c r="AS355" s="22"/>
      <c r="AT355" s="22"/>
      <c r="AU355" s="22"/>
      <c r="AV355" s="22"/>
      <c r="AW355" s="22"/>
      <c r="AX355" s="22"/>
      <c r="AY355" s="22"/>
      <c r="AZ355" s="22"/>
      <c r="BA355" s="22"/>
      <c r="BB355" s="22"/>
      <c r="BC355" s="22"/>
      <c r="BD355" s="22"/>
      <c r="BE355" s="22"/>
      <c r="BF355" s="22"/>
      <c r="BG355" s="22"/>
      <c r="BH355" s="22"/>
      <c r="BI355" s="22"/>
      <c r="BJ355" s="22"/>
      <c r="BK355" s="22"/>
      <c r="BL355" s="22"/>
      <c r="BM355" s="22"/>
      <c r="BN355" s="22"/>
    </row>
    <row r="356" spans="1:66" ht="15.75" x14ac:dyDescent="0.2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2"/>
      <c r="AR356" s="22"/>
      <c r="AS356" s="22"/>
      <c r="AT356" s="22"/>
      <c r="AU356" s="22"/>
      <c r="AV356" s="22"/>
      <c r="AW356" s="22"/>
      <c r="AX356" s="22"/>
      <c r="AY356" s="22"/>
      <c r="AZ356" s="22"/>
      <c r="BA356" s="22"/>
      <c r="BB356" s="22"/>
      <c r="BC356" s="22"/>
      <c r="BD356" s="22"/>
      <c r="BE356" s="22"/>
      <c r="BF356" s="22"/>
      <c r="BG356" s="22"/>
      <c r="BH356" s="22"/>
      <c r="BI356" s="22"/>
      <c r="BJ356" s="22"/>
      <c r="BK356" s="22"/>
      <c r="BL356" s="22"/>
      <c r="BM356" s="22"/>
      <c r="BN356" s="22"/>
    </row>
    <row r="357" spans="1:66" ht="15.75" x14ac:dyDescent="0.2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2"/>
      <c r="AR357" s="22"/>
      <c r="AS357" s="22"/>
      <c r="AT357" s="22"/>
      <c r="AU357" s="22"/>
      <c r="AV357" s="22"/>
      <c r="AW357" s="22"/>
      <c r="AX357" s="22"/>
      <c r="AY357" s="22"/>
      <c r="AZ357" s="22"/>
      <c r="BA357" s="22"/>
      <c r="BB357" s="22"/>
      <c r="BC357" s="22"/>
      <c r="BD357" s="22"/>
      <c r="BE357" s="22"/>
      <c r="BF357" s="22"/>
      <c r="BG357" s="22"/>
      <c r="BH357" s="22"/>
      <c r="BI357" s="22"/>
      <c r="BJ357" s="22"/>
      <c r="BK357" s="22"/>
      <c r="BL357" s="22"/>
      <c r="BM357" s="22"/>
      <c r="BN357" s="22"/>
    </row>
    <row r="358" spans="1:66" ht="15.75" x14ac:dyDescent="0.2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  <c r="AQ358" s="22"/>
      <c r="AR358" s="22"/>
      <c r="AS358" s="22"/>
      <c r="AT358" s="22"/>
      <c r="AU358" s="22"/>
      <c r="AV358" s="22"/>
      <c r="AW358" s="22"/>
      <c r="AX358" s="22"/>
      <c r="AY358" s="22"/>
      <c r="AZ358" s="22"/>
      <c r="BA358" s="22"/>
      <c r="BB358" s="22"/>
      <c r="BC358" s="22"/>
      <c r="BD358" s="22"/>
      <c r="BE358" s="22"/>
      <c r="BF358" s="22"/>
      <c r="BG358" s="22"/>
      <c r="BH358" s="22"/>
      <c r="BI358" s="22"/>
      <c r="BJ358" s="22"/>
      <c r="BK358" s="22"/>
      <c r="BL358" s="22"/>
      <c r="BM358" s="22"/>
      <c r="BN358" s="22"/>
    </row>
    <row r="359" spans="1:66" ht="15.75" x14ac:dyDescent="0.2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2"/>
      <c r="AR359" s="22"/>
      <c r="AS359" s="22"/>
      <c r="AT359" s="22"/>
      <c r="AU359" s="22"/>
      <c r="AV359" s="22"/>
      <c r="AW359" s="22"/>
      <c r="AX359" s="22"/>
      <c r="AY359" s="22"/>
      <c r="AZ359" s="22"/>
      <c r="BA359" s="22"/>
      <c r="BB359" s="22"/>
      <c r="BC359" s="22"/>
      <c r="BD359" s="22"/>
      <c r="BE359" s="22"/>
      <c r="BF359" s="22"/>
      <c r="BG359" s="22"/>
      <c r="BH359" s="22"/>
      <c r="BI359" s="22"/>
      <c r="BJ359" s="22"/>
      <c r="BK359" s="22"/>
      <c r="BL359" s="22"/>
      <c r="BM359" s="22"/>
      <c r="BN359" s="22"/>
    </row>
    <row r="360" spans="1:66" ht="15.75" x14ac:dyDescent="0.2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  <c r="AQ360" s="22"/>
      <c r="AR360" s="22"/>
      <c r="AS360" s="22"/>
      <c r="AT360" s="22"/>
      <c r="AU360" s="22"/>
      <c r="AV360" s="22"/>
      <c r="AW360" s="22"/>
      <c r="AX360" s="22"/>
      <c r="AY360" s="22"/>
      <c r="AZ360" s="22"/>
      <c r="BA360" s="22"/>
      <c r="BB360" s="22"/>
      <c r="BC360" s="22"/>
      <c r="BD360" s="22"/>
      <c r="BE360" s="22"/>
      <c r="BF360" s="22"/>
      <c r="BG360" s="22"/>
      <c r="BH360" s="22"/>
      <c r="BI360" s="22"/>
      <c r="BJ360" s="22"/>
      <c r="BK360" s="22"/>
      <c r="BL360" s="22"/>
      <c r="BM360" s="22"/>
      <c r="BN360" s="22"/>
    </row>
    <row r="361" spans="1:66" ht="15.75" x14ac:dyDescent="0.2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2"/>
      <c r="AR361" s="22"/>
      <c r="AS361" s="22"/>
      <c r="AT361" s="22"/>
      <c r="AU361" s="22"/>
      <c r="AV361" s="22"/>
      <c r="AW361" s="22"/>
      <c r="AX361" s="22"/>
      <c r="AY361" s="22"/>
      <c r="AZ361" s="22"/>
      <c r="BA361" s="22"/>
      <c r="BB361" s="22"/>
      <c r="BC361" s="22"/>
      <c r="BD361" s="22"/>
      <c r="BE361" s="22"/>
      <c r="BF361" s="22"/>
      <c r="BG361" s="22"/>
      <c r="BH361" s="22"/>
      <c r="BI361" s="22"/>
      <c r="BJ361" s="22"/>
      <c r="BK361" s="22"/>
      <c r="BL361" s="22"/>
      <c r="BM361" s="22"/>
      <c r="BN361" s="22"/>
    </row>
    <row r="362" spans="1:66" ht="15.75" x14ac:dyDescent="0.2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2"/>
      <c r="AR362" s="22"/>
      <c r="AS362" s="22"/>
      <c r="AT362" s="22"/>
      <c r="AU362" s="22"/>
      <c r="AV362" s="22"/>
      <c r="AW362" s="22"/>
      <c r="AX362" s="22"/>
      <c r="AY362" s="22"/>
      <c r="AZ362" s="22"/>
      <c r="BA362" s="22"/>
      <c r="BB362" s="22"/>
      <c r="BC362" s="22"/>
      <c r="BD362" s="22"/>
      <c r="BE362" s="22"/>
      <c r="BF362" s="22"/>
      <c r="BG362" s="22"/>
      <c r="BH362" s="22"/>
      <c r="BI362" s="22"/>
      <c r="BJ362" s="22"/>
      <c r="BK362" s="22"/>
      <c r="BL362" s="22"/>
      <c r="BM362" s="22"/>
      <c r="BN362" s="22"/>
    </row>
    <row r="363" spans="1:66" ht="15.75" x14ac:dyDescent="0.2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  <c r="AQ363" s="22"/>
      <c r="AR363" s="22"/>
      <c r="AS363" s="22"/>
      <c r="AT363" s="22"/>
      <c r="AU363" s="22"/>
      <c r="AV363" s="22"/>
      <c r="AW363" s="22"/>
      <c r="AX363" s="22"/>
      <c r="AY363" s="22"/>
      <c r="AZ363" s="22"/>
      <c r="BA363" s="22"/>
      <c r="BB363" s="22"/>
      <c r="BC363" s="22"/>
      <c r="BD363" s="22"/>
      <c r="BE363" s="22"/>
      <c r="BF363" s="22"/>
      <c r="BG363" s="22"/>
      <c r="BH363" s="22"/>
      <c r="BI363" s="22"/>
      <c r="BJ363" s="22"/>
      <c r="BK363" s="22"/>
      <c r="BL363" s="22"/>
      <c r="BM363" s="22"/>
      <c r="BN363" s="22"/>
    </row>
    <row r="364" spans="1:66" ht="15.75" x14ac:dyDescent="0.2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  <c r="AQ364" s="22"/>
      <c r="AR364" s="22"/>
      <c r="AS364" s="22"/>
      <c r="AT364" s="22"/>
      <c r="AU364" s="22"/>
      <c r="AV364" s="22"/>
      <c r="AW364" s="22"/>
      <c r="AX364" s="22"/>
      <c r="AY364" s="22"/>
      <c r="AZ364" s="22"/>
      <c r="BA364" s="22"/>
      <c r="BB364" s="22"/>
      <c r="BC364" s="22"/>
      <c r="BD364" s="22"/>
      <c r="BE364" s="22"/>
      <c r="BF364" s="22"/>
      <c r="BG364" s="22"/>
      <c r="BH364" s="22"/>
      <c r="BI364" s="22"/>
      <c r="BJ364" s="22"/>
      <c r="BK364" s="22"/>
      <c r="BL364" s="22"/>
      <c r="BM364" s="22"/>
      <c r="BN364" s="22"/>
    </row>
    <row r="365" spans="1:66" ht="15.75" x14ac:dyDescent="0.2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2"/>
      <c r="AR365" s="22"/>
      <c r="AS365" s="22"/>
      <c r="AT365" s="22"/>
      <c r="AU365" s="22"/>
      <c r="AV365" s="22"/>
      <c r="AW365" s="22"/>
      <c r="AX365" s="22"/>
      <c r="AY365" s="22"/>
      <c r="AZ365" s="22"/>
      <c r="BA365" s="22"/>
      <c r="BB365" s="22"/>
      <c r="BC365" s="22"/>
      <c r="BD365" s="22"/>
      <c r="BE365" s="22"/>
      <c r="BF365" s="22"/>
      <c r="BG365" s="22"/>
      <c r="BH365" s="22"/>
      <c r="BI365" s="22"/>
      <c r="BJ365" s="22"/>
      <c r="BK365" s="22"/>
      <c r="BL365" s="22"/>
      <c r="BM365" s="22"/>
      <c r="BN365" s="22"/>
    </row>
    <row r="366" spans="1:66" ht="15.75" x14ac:dyDescent="0.2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2"/>
      <c r="AR366" s="22"/>
      <c r="AS366" s="22"/>
      <c r="AT366" s="22"/>
      <c r="AU366" s="22"/>
      <c r="AV366" s="22"/>
      <c r="AW366" s="22"/>
      <c r="AX366" s="22"/>
      <c r="AY366" s="22"/>
      <c r="AZ366" s="22"/>
      <c r="BA366" s="22"/>
      <c r="BB366" s="22"/>
      <c r="BC366" s="22"/>
      <c r="BD366" s="22"/>
      <c r="BE366" s="22"/>
      <c r="BF366" s="22"/>
      <c r="BG366" s="22"/>
      <c r="BH366" s="22"/>
      <c r="BI366" s="22"/>
      <c r="BJ366" s="22"/>
      <c r="BK366" s="22"/>
      <c r="BL366" s="22"/>
      <c r="BM366" s="22"/>
      <c r="BN366" s="22"/>
    </row>
    <row r="367" spans="1:66" ht="15.75" x14ac:dyDescent="0.2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  <c r="AQ367" s="22"/>
      <c r="AR367" s="22"/>
      <c r="AS367" s="22"/>
      <c r="AT367" s="22"/>
      <c r="AU367" s="22"/>
      <c r="AV367" s="22"/>
      <c r="AW367" s="22"/>
      <c r="AX367" s="22"/>
      <c r="AY367" s="22"/>
      <c r="AZ367" s="22"/>
      <c r="BA367" s="22"/>
      <c r="BB367" s="22"/>
      <c r="BC367" s="22"/>
      <c r="BD367" s="22"/>
      <c r="BE367" s="22"/>
      <c r="BF367" s="22"/>
      <c r="BG367" s="22"/>
      <c r="BH367" s="22"/>
      <c r="BI367" s="22"/>
      <c r="BJ367" s="22"/>
      <c r="BK367" s="22"/>
      <c r="BL367" s="22"/>
      <c r="BM367" s="22"/>
      <c r="BN367" s="22"/>
    </row>
    <row r="368" spans="1:66" ht="15.75" x14ac:dyDescent="0.2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2"/>
      <c r="AR368" s="22"/>
      <c r="AS368" s="22"/>
      <c r="AT368" s="22"/>
      <c r="AU368" s="22"/>
      <c r="AV368" s="22"/>
      <c r="AW368" s="22"/>
      <c r="AX368" s="22"/>
      <c r="AY368" s="22"/>
      <c r="AZ368" s="22"/>
      <c r="BA368" s="22"/>
      <c r="BB368" s="22"/>
      <c r="BC368" s="22"/>
      <c r="BD368" s="22"/>
      <c r="BE368" s="22"/>
      <c r="BF368" s="22"/>
      <c r="BG368" s="22"/>
      <c r="BH368" s="22"/>
      <c r="BI368" s="22"/>
      <c r="BJ368" s="22"/>
      <c r="BK368" s="22"/>
      <c r="BL368" s="22"/>
      <c r="BM368" s="22"/>
      <c r="BN368" s="22"/>
    </row>
    <row r="369" spans="1:66" ht="15.75" x14ac:dyDescent="0.2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2"/>
      <c r="AR369" s="22"/>
      <c r="AS369" s="22"/>
      <c r="AT369" s="22"/>
      <c r="AU369" s="22"/>
      <c r="AV369" s="22"/>
      <c r="AW369" s="22"/>
      <c r="AX369" s="22"/>
      <c r="AY369" s="22"/>
      <c r="AZ369" s="22"/>
      <c r="BA369" s="22"/>
      <c r="BB369" s="22"/>
      <c r="BC369" s="22"/>
      <c r="BD369" s="22"/>
      <c r="BE369" s="22"/>
      <c r="BF369" s="22"/>
      <c r="BG369" s="22"/>
      <c r="BH369" s="22"/>
      <c r="BI369" s="22"/>
      <c r="BJ369" s="22"/>
      <c r="BK369" s="22"/>
      <c r="BL369" s="22"/>
      <c r="BM369" s="22"/>
      <c r="BN369" s="22"/>
    </row>
    <row r="370" spans="1:66" ht="15.75" x14ac:dyDescent="0.2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  <c r="AQ370" s="22"/>
      <c r="AR370" s="22"/>
      <c r="AS370" s="22"/>
      <c r="AT370" s="22"/>
      <c r="AU370" s="22"/>
      <c r="AV370" s="22"/>
      <c r="AW370" s="22"/>
      <c r="AX370" s="22"/>
      <c r="AY370" s="22"/>
      <c r="AZ370" s="22"/>
      <c r="BA370" s="22"/>
      <c r="BB370" s="22"/>
      <c r="BC370" s="22"/>
      <c r="BD370" s="22"/>
      <c r="BE370" s="22"/>
      <c r="BF370" s="22"/>
      <c r="BG370" s="22"/>
      <c r="BH370" s="22"/>
      <c r="BI370" s="22"/>
      <c r="BJ370" s="22"/>
      <c r="BK370" s="22"/>
      <c r="BL370" s="22"/>
      <c r="BM370" s="22"/>
      <c r="BN370" s="22"/>
    </row>
    <row r="371" spans="1:66" ht="15.75" x14ac:dyDescent="0.2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2"/>
      <c r="AR371" s="22"/>
      <c r="AS371" s="22"/>
      <c r="AT371" s="22"/>
      <c r="AU371" s="22"/>
      <c r="AV371" s="22"/>
      <c r="AW371" s="22"/>
      <c r="AX371" s="22"/>
      <c r="AY371" s="22"/>
      <c r="AZ371" s="22"/>
      <c r="BA371" s="22"/>
      <c r="BB371" s="22"/>
      <c r="BC371" s="22"/>
      <c r="BD371" s="22"/>
      <c r="BE371" s="22"/>
      <c r="BF371" s="22"/>
      <c r="BG371" s="22"/>
      <c r="BH371" s="22"/>
      <c r="BI371" s="22"/>
      <c r="BJ371" s="22"/>
      <c r="BK371" s="22"/>
      <c r="BL371" s="22"/>
      <c r="BM371" s="22"/>
      <c r="BN371" s="22"/>
    </row>
    <row r="372" spans="1:66" ht="15.75" x14ac:dyDescent="0.25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  <c r="AQ372" s="22"/>
      <c r="AR372" s="22"/>
      <c r="AS372" s="22"/>
      <c r="AT372" s="22"/>
      <c r="AU372" s="22"/>
      <c r="AV372" s="22"/>
      <c r="AW372" s="22"/>
      <c r="AX372" s="22"/>
      <c r="AY372" s="22"/>
      <c r="AZ372" s="22"/>
      <c r="BA372" s="22"/>
      <c r="BB372" s="22"/>
      <c r="BC372" s="22"/>
      <c r="BD372" s="22"/>
      <c r="BE372" s="22"/>
      <c r="BF372" s="22"/>
      <c r="BG372" s="22"/>
      <c r="BH372" s="22"/>
      <c r="BI372" s="22"/>
      <c r="BJ372" s="22"/>
      <c r="BK372" s="22"/>
      <c r="BL372" s="22"/>
      <c r="BM372" s="22"/>
      <c r="BN372" s="22"/>
    </row>
    <row r="373" spans="1:66" ht="15.75" x14ac:dyDescent="0.25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  <c r="AQ373" s="22"/>
      <c r="AR373" s="22"/>
      <c r="AS373" s="22"/>
      <c r="AT373" s="22"/>
      <c r="AU373" s="22"/>
      <c r="AV373" s="22"/>
      <c r="AW373" s="22"/>
      <c r="AX373" s="22"/>
      <c r="AY373" s="22"/>
      <c r="AZ373" s="22"/>
      <c r="BA373" s="22"/>
      <c r="BB373" s="22"/>
      <c r="BC373" s="22"/>
      <c r="BD373" s="22"/>
      <c r="BE373" s="22"/>
      <c r="BF373" s="22"/>
      <c r="BG373" s="22"/>
      <c r="BH373" s="22"/>
      <c r="BI373" s="22"/>
      <c r="BJ373" s="22"/>
      <c r="BK373" s="22"/>
      <c r="BL373" s="22"/>
      <c r="BM373" s="22"/>
      <c r="BN373" s="22"/>
    </row>
    <row r="374" spans="1:66" ht="15.75" x14ac:dyDescent="0.25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  <c r="AQ374" s="22"/>
      <c r="AR374" s="22"/>
      <c r="AS374" s="22"/>
      <c r="AT374" s="22"/>
      <c r="AU374" s="22"/>
      <c r="AV374" s="22"/>
      <c r="AW374" s="22"/>
      <c r="AX374" s="22"/>
      <c r="AY374" s="22"/>
      <c r="AZ374" s="22"/>
      <c r="BA374" s="22"/>
      <c r="BB374" s="22"/>
      <c r="BC374" s="22"/>
      <c r="BD374" s="22"/>
      <c r="BE374" s="22"/>
      <c r="BF374" s="22"/>
      <c r="BG374" s="22"/>
      <c r="BH374" s="22"/>
      <c r="BI374" s="22"/>
      <c r="BJ374" s="22"/>
      <c r="BK374" s="22"/>
      <c r="BL374" s="22"/>
      <c r="BM374" s="22"/>
      <c r="BN374" s="22"/>
    </row>
    <row r="375" spans="1:66" ht="15.75" x14ac:dyDescent="0.2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  <c r="AQ375" s="22"/>
      <c r="AR375" s="22"/>
      <c r="AS375" s="22"/>
      <c r="AT375" s="22"/>
      <c r="AU375" s="22"/>
      <c r="AV375" s="22"/>
      <c r="AW375" s="22"/>
      <c r="AX375" s="22"/>
      <c r="AY375" s="22"/>
      <c r="AZ375" s="22"/>
      <c r="BA375" s="22"/>
      <c r="BB375" s="22"/>
      <c r="BC375" s="22"/>
      <c r="BD375" s="22"/>
      <c r="BE375" s="22"/>
      <c r="BF375" s="22"/>
      <c r="BG375" s="22"/>
      <c r="BH375" s="22"/>
      <c r="BI375" s="22"/>
      <c r="BJ375" s="22"/>
      <c r="BK375" s="22"/>
      <c r="BL375" s="22"/>
      <c r="BM375" s="22"/>
      <c r="BN375" s="22"/>
    </row>
    <row r="376" spans="1:66" ht="15.75" x14ac:dyDescent="0.25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  <c r="AQ376" s="22"/>
      <c r="AR376" s="22"/>
      <c r="AS376" s="22"/>
      <c r="AT376" s="22"/>
      <c r="AU376" s="22"/>
      <c r="AV376" s="22"/>
      <c r="AW376" s="22"/>
      <c r="AX376" s="22"/>
      <c r="AY376" s="22"/>
      <c r="AZ376" s="22"/>
      <c r="BA376" s="22"/>
      <c r="BB376" s="22"/>
      <c r="BC376" s="22"/>
      <c r="BD376" s="22"/>
      <c r="BE376" s="22"/>
      <c r="BF376" s="22"/>
      <c r="BG376" s="22"/>
      <c r="BH376" s="22"/>
      <c r="BI376" s="22"/>
      <c r="BJ376" s="22"/>
      <c r="BK376" s="22"/>
      <c r="BL376" s="22"/>
      <c r="BM376" s="22"/>
      <c r="BN376" s="22"/>
    </row>
    <row r="377" spans="1:66" ht="15.75" x14ac:dyDescent="0.25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  <c r="AQ377" s="22"/>
      <c r="AR377" s="22"/>
      <c r="AS377" s="22"/>
      <c r="AT377" s="22"/>
      <c r="AU377" s="22"/>
      <c r="AV377" s="22"/>
      <c r="AW377" s="22"/>
      <c r="AX377" s="22"/>
      <c r="AY377" s="22"/>
      <c r="AZ377" s="22"/>
      <c r="BA377" s="22"/>
      <c r="BB377" s="22"/>
      <c r="BC377" s="22"/>
      <c r="BD377" s="22"/>
      <c r="BE377" s="22"/>
      <c r="BF377" s="22"/>
      <c r="BG377" s="22"/>
      <c r="BH377" s="22"/>
      <c r="BI377" s="22"/>
      <c r="BJ377" s="22"/>
      <c r="BK377" s="22"/>
      <c r="BL377" s="22"/>
      <c r="BM377" s="22"/>
      <c r="BN377" s="22"/>
    </row>
    <row r="378" spans="1:66" ht="15.75" x14ac:dyDescent="0.25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  <c r="AQ378" s="22"/>
      <c r="AR378" s="22"/>
      <c r="AS378" s="22"/>
      <c r="AT378" s="22"/>
      <c r="AU378" s="22"/>
      <c r="AV378" s="22"/>
      <c r="AW378" s="22"/>
      <c r="AX378" s="22"/>
      <c r="AY378" s="22"/>
      <c r="AZ378" s="22"/>
      <c r="BA378" s="22"/>
      <c r="BB378" s="22"/>
      <c r="BC378" s="22"/>
      <c r="BD378" s="22"/>
      <c r="BE378" s="22"/>
      <c r="BF378" s="22"/>
      <c r="BG378" s="22"/>
      <c r="BH378" s="22"/>
      <c r="BI378" s="22"/>
      <c r="BJ378" s="22"/>
      <c r="BK378" s="22"/>
      <c r="BL378" s="22"/>
      <c r="BM378" s="22"/>
      <c r="BN378" s="22"/>
    </row>
    <row r="379" spans="1:66" ht="15.75" x14ac:dyDescent="0.25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  <c r="AQ379" s="22"/>
      <c r="AR379" s="22"/>
      <c r="AS379" s="22"/>
      <c r="AT379" s="22"/>
      <c r="AU379" s="22"/>
      <c r="AV379" s="22"/>
      <c r="AW379" s="22"/>
      <c r="AX379" s="22"/>
      <c r="AY379" s="22"/>
      <c r="AZ379" s="22"/>
      <c r="BA379" s="22"/>
      <c r="BB379" s="22"/>
      <c r="BC379" s="22"/>
      <c r="BD379" s="22"/>
      <c r="BE379" s="22"/>
      <c r="BF379" s="22"/>
      <c r="BG379" s="22"/>
      <c r="BH379" s="22"/>
      <c r="BI379" s="22"/>
      <c r="BJ379" s="22"/>
      <c r="BK379" s="22"/>
      <c r="BL379" s="22"/>
      <c r="BM379" s="22"/>
      <c r="BN379" s="22"/>
    </row>
    <row r="380" spans="1:66" ht="15.75" x14ac:dyDescent="0.25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  <c r="AQ380" s="22"/>
      <c r="AR380" s="22"/>
      <c r="AS380" s="22"/>
      <c r="AT380" s="22"/>
      <c r="AU380" s="22"/>
      <c r="AV380" s="22"/>
      <c r="AW380" s="22"/>
      <c r="AX380" s="22"/>
      <c r="AY380" s="22"/>
      <c r="AZ380" s="22"/>
      <c r="BA380" s="22"/>
      <c r="BB380" s="22"/>
      <c r="BC380" s="22"/>
      <c r="BD380" s="22"/>
      <c r="BE380" s="22"/>
      <c r="BF380" s="22"/>
      <c r="BG380" s="22"/>
      <c r="BH380" s="22"/>
      <c r="BI380" s="22"/>
      <c r="BJ380" s="22"/>
      <c r="BK380" s="22"/>
      <c r="BL380" s="22"/>
      <c r="BM380" s="22"/>
      <c r="BN380" s="22"/>
    </row>
    <row r="381" spans="1:66" ht="15.75" x14ac:dyDescent="0.25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  <c r="AQ381" s="22"/>
      <c r="AR381" s="22"/>
      <c r="AS381" s="22"/>
      <c r="AT381" s="22"/>
      <c r="AU381" s="22"/>
      <c r="AV381" s="22"/>
      <c r="AW381" s="22"/>
      <c r="AX381" s="22"/>
      <c r="AY381" s="22"/>
      <c r="AZ381" s="22"/>
      <c r="BA381" s="22"/>
      <c r="BB381" s="22"/>
      <c r="BC381" s="22"/>
      <c r="BD381" s="22"/>
      <c r="BE381" s="22"/>
      <c r="BF381" s="22"/>
      <c r="BG381" s="22"/>
      <c r="BH381" s="22"/>
      <c r="BI381" s="22"/>
      <c r="BJ381" s="22"/>
      <c r="BK381" s="22"/>
      <c r="BL381" s="22"/>
      <c r="BM381" s="22"/>
      <c r="BN381" s="22"/>
    </row>
    <row r="382" spans="1:66" ht="15.75" x14ac:dyDescent="0.25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  <c r="AQ382" s="22"/>
      <c r="AR382" s="22"/>
      <c r="AS382" s="22"/>
      <c r="AT382" s="22"/>
      <c r="AU382" s="22"/>
      <c r="AV382" s="22"/>
      <c r="AW382" s="22"/>
      <c r="AX382" s="22"/>
      <c r="AY382" s="22"/>
      <c r="AZ382" s="22"/>
      <c r="BA382" s="22"/>
      <c r="BB382" s="22"/>
      <c r="BC382" s="22"/>
      <c r="BD382" s="22"/>
      <c r="BE382" s="22"/>
      <c r="BF382" s="22"/>
      <c r="BG382" s="22"/>
      <c r="BH382" s="22"/>
      <c r="BI382" s="22"/>
      <c r="BJ382" s="22"/>
      <c r="BK382" s="22"/>
      <c r="BL382" s="22"/>
      <c r="BM382" s="22"/>
      <c r="BN382" s="22"/>
    </row>
    <row r="383" spans="1:66" ht="15.75" x14ac:dyDescent="0.25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  <c r="AQ383" s="22"/>
      <c r="AR383" s="22"/>
      <c r="AS383" s="22"/>
      <c r="AT383" s="22"/>
      <c r="AU383" s="22"/>
      <c r="AV383" s="22"/>
      <c r="AW383" s="22"/>
      <c r="AX383" s="22"/>
      <c r="AY383" s="22"/>
      <c r="AZ383" s="22"/>
      <c r="BA383" s="22"/>
      <c r="BB383" s="22"/>
      <c r="BC383" s="22"/>
      <c r="BD383" s="22"/>
      <c r="BE383" s="22"/>
      <c r="BF383" s="22"/>
      <c r="BG383" s="22"/>
      <c r="BH383" s="22"/>
      <c r="BI383" s="22"/>
      <c r="BJ383" s="22"/>
      <c r="BK383" s="22"/>
      <c r="BL383" s="22"/>
      <c r="BM383" s="22"/>
      <c r="BN383" s="22"/>
    </row>
    <row r="384" spans="1:66" ht="15.75" x14ac:dyDescent="0.25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  <c r="AQ384" s="22"/>
      <c r="AR384" s="22"/>
      <c r="AS384" s="22"/>
      <c r="AT384" s="22"/>
      <c r="AU384" s="22"/>
      <c r="AV384" s="22"/>
      <c r="AW384" s="22"/>
      <c r="AX384" s="22"/>
      <c r="AY384" s="22"/>
      <c r="AZ384" s="22"/>
      <c r="BA384" s="22"/>
      <c r="BB384" s="22"/>
      <c r="BC384" s="22"/>
      <c r="BD384" s="22"/>
      <c r="BE384" s="22"/>
      <c r="BF384" s="22"/>
      <c r="BG384" s="22"/>
      <c r="BH384" s="22"/>
      <c r="BI384" s="22"/>
      <c r="BJ384" s="22"/>
      <c r="BK384" s="22"/>
      <c r="BL384" s="22"/>
      <c r="BM384" s="22"/>
      <c r="BN384" s="22"/>
    </row>
    <row r="385" spans="1:66" ht="15.75" x14ac:dyDescent="0.2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  <c r="AQ385" s="22"/>
      <c r="AR385" s="22"/>
      <c r="AS385" s="22"/>
      <c r="AT385" s="22"/>
      <c r="AU385" s="22"/>
      <c r="AV385" s="22"/>
      <c r="AW385" s="22"/>
      <c r="AX385" s="22"/>
      <c r="AY385" s="22"/>
      <c r="AZ385" s="22"/>
      <c r="BA385" s="22"/>
      <c r="BB385" s="22"/>
      <c r="BC385" s="22"/>
      <c r="BD385" s="22"/>
      <c r="BE385" s="22"/>
      <c r="BF385" s="22"/>
      <c r="BG385" s="22"/>
      <c r="BH385" s="22"/>
      <c r="BI385" s="22"/>
      <c r="BJ385" s="22"/>
      <c r="BK385" s="22"/>
      <c r="BL385" s="22"/>
      <c r="BM385" s="22"/>
      <c r="BN385" s="22"/>
    </row>
    <row r="386" spans="1:66" ht="15.75" x14ac:dyDescent="0.25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  <c r="AQ386" s="22"/>
      <c r="AR386" s="22"/>
      <c r="AS386" s="22"/>
      <c r="AT386" s="22"/>
      <c r="AU386" s="22"/>
      <c r="AV386" s="22"/>
      <c r="AW386" s="22"/>
      <c r="AX386" s="22"/>
      <c r="AY386" s="22"/>
      <c r="AZ386" s="22"/>
      <c r="BA386" s="22"/>
      <c r="BB386" s="22"/>
      <c r="BC386" s="22"/>
      <c r="BD386" s="22"/>
      <c r="BE386" s="22"/>
      <c r="BF386" s="22"/>
      <c r="BG386" s="22"/>
      <c r="BH386" s="22"/>
      <c r="BI386" s="22"/>
      <c r="BJ386" s="22"/>
      <c r="BK386" s="22"/>
      <c r="BL386" s="22"/>
      <c r="BM386" s="22"/>
      <c r="BN386" s="22"/>
    </row>
    <row r="387" spans="1:66" ht="15.75" x14ac:dyDescent="0.25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  <c r="AQ387" s="22"/>
      <c r="AR387" s="22"/>
      <c r="AS387" s="22"/>
      <c r="AT387" s="22"/>
      <c r="AU387" s="22"/>
      <c r="AV387" s="22"/>
      <c r="AW387" s="22"/>
      <c r="AX387" s="22"/>
      <c r="AY387" s="22"/>
      <c r="AZ387" s="22"/>
      <c r="BA387" s="22"/>
      <c r="BB387" s="22"/>
      <c r="BC387" s="22"/>
      <c r="BD387" s="22"/>
      <c r="BE387" s="22"/>
      <c r="BF387" s="22"/>
      <c r="BG387" s="22"/>
      <c r="BH387" s="22"/>
      <c r="BI387" s="22"/>
      <c r="BJ387" s="22"/>
      <c r="BK387" s="22"/>
      <c r="BL387" s="22"/>
      <c r="BM387" s="22"/>
      <c r="BN387" s="22"/>
    </row>
    <row r="388" spans="1:66" ht="15.75" x14ac:dyDescent="0.25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  <c r="AQ388" s="22"/>
      <c r="AR388" s="22"/>
      <c r="AS388" s="22"/>
      <c r="AT388" s="22"/>
      <c r="AU388" s="22"/>
      <c r="AV388" s="22"/>
      <c r="AW388" s="22"/>
      <c r="AX388" s="22"/>
      <c r="AY388" s="22"/>
      <c r="AZ388" s="22"/>
      <c r="BA388" s="22"/>
      <c r="BB388" s="22"/>
      <c r="BC388" s="22"/>
      <c r="BD388" s="22"/>
      <c r="BE388" s="22"/>
      <c r="BF388" s="22"/>
      <c r="BG388" s="22"/>
      <c r="BH388" s="22"/>
      <c r="BI388" s="22"/>
      <c r="BJ388" s="22"/>
      <c r="BK388" s="22"/>
      <c r="BL388" s="22"/>
      <c r="BM388" s="22"/>
      <c r="BN388" s="22"/>
    </row>
    <row r="389" spans="1:66" ht="15.75" x14ac:dyDescent="0.25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  <c r="AQ389" s="22"/>
      <c r="AR389" s="22"/>
      <c r="AS389" s="22"/>
      <c r="AT389" s="22"/>
      <c r="AU389" s="22"/>
      <c r="AV389" s="22"/>
      <c r="AW389" s="22"/>
      <c r="AX389" s="22"/>
      <c r="AY389" s="22"/>
      <c r="AZ389" s="22"/>
      <c r="BA389" s="22"/>
      <c r="BB389" s="22"/>
      <c r="BC389" s="22"/>
      <c r="BD389" s="22"/>
      <c r="BE389" s="22"/>
      <c r="BF389" s="22"/>
      <c r="BG389" s="22"/>
      <c r="BH389" s="22"/>
      <c r="BI389" s="22"/>
      <c r="BJ389" s="22"/>
      <c r="BK389" s="22"/>
      <c r="BL389" s="22"/>
      <c r="BM389" s="22"/>
      <c r="BN389" s="22"/>
    </row>
    <row r="390" spans="1:66" ht="15.75" x14ac:dyDescent="0.25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  <c r="AQ390" s="22"/>
      <c r="AR390" s="22"/>
      <c r="AS390" s="22"/>
      <c r="AT390" s="22"/>
      <c r="AU390" s="22"/>
      <c r="AV390" s="22"/>
      <c r="AW390" s="22"/>
      <c r="AX390" s="22"/>
      <c r="AY390" s="22"/>
      <c r="AZ390" s="22"/>
      <c r="BA390" s="22"/>
      <c r="BB390" s="22"/>
      <c r="BC390" s="22"/>
      <c r="BD390" s="22"/>
      <c r="BE390" s="22"/>
      <c r="BF390" s="22"/>
      <c r="BG390" s="22"/>
      <c r="BH390" s="22"/>
      <c r="BI390" s="22"/>
      <c r="BJ390" s="22"/>
      <c r="BK390" s="22"/>
      <c r="BL390" s="22"/>
      <c r="BM390" s="22"/>
      <c r="BN390" s="22"/>
    </row>
    <row r="391" spans="1:66" ht="15.75" x14ac:dyDescent="0.25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2"/>
      <c r="AR391" s="22"/>
      <c r="AS391" s="22"/>
      <c r="AT391" s="22"/>
      <c r="AU391" s="22"/>
      <c r="AV391" s="22"/>
      <c r="AW391" s="22"/>
      <c r="AX391" s="22"/>
      <c r="AY391" s="22"/>
      <c r="AZ391" s="22"/>
      <c r="BA391" s="22"/>
      <c r="BB391" s="22"/>
      <c r="BC391" s="22"/>
      <c r="BD391" s="22"/>
      <c r="BE391" s="22"/>
      <c r="BF391" s="22"/>
      <c r="BG391" s="22"/>
      <c r="BH391" s="22"/>
      <c r="BI391" s="22"/>
      <c r="BJ391" s="22"/>
      <c r="BK391" s="22"/>
      <c r="BL391" s="22"/>
      <c r="BM391" s="22"/>
      <c r="BN391" s="22"/>
    </row>
    <row r="392" spans="1:66" ht="15.75" x14ac:dyDescent="0.25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  <c r="AQ392" s="22"/>
      <c r="AR392" s="22"/>
      <c r="AS392" s="22"/>
      <c r="AT392" s="22"/>
      <c r="AU392" s="22"/>
      <c r="AV392" s="22"/>
      <c r="AW392" s="22"/>
      <c r="AX392" s="22"/>
      <c r="AY392" s="22"/>
      <c r="AZ392" s="22"/>
      <c r="BA392" s="22"/>
      <c r="BB392" s="22"/>
      <c r="BC392" s="22"/>
      <c r="BD392" s="22"/>
      <c r="BE392" s="22"/>
      <c r="BF392" s="22"/>
      <c r="BG392" s="22"/>
      <c r="BH392" s="22"/>
      <c r="BI392" s="22"/>
      <c r="BJ392" s="22"/>
      <c r="BK392" s="22"/>
      <c r="BL392" s="22"/>
      <c r="BM392" s="22"/>
      <c r="BN392" s="22"/>
    </row>
    <row r="393" spans="1:66" ht="15.75" x14ac:dyDescent="0.25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  <c r="AQ393" s="22"/>
      <c r="AR393" s="22"/>
      <c r="AS393" s="22"/>
      <c r="AT393" s="22"/>
      <c r="AU393" s="22"/>
      <c r="AV393" s="22"/>
      <c r="AW393" s="22"/>
      <c r="AX393" s="22"/>
      <c r="AY393" s="22"/>
      <c r="AZ393" s="22"/>
      <c r="BA393" s="22"/>
      <c r="BB393" s="22"/>
      <c r="BC393" s="22"/>
      <c r="BD393" s="22"/>
      <c r="BE393" s="22"/>
      <c r="BF393" s="22"/>
      <c r="BG393" s="22"/>
      <c r="BH393" s="22"/>
      <c r="BI393" s="22"/>
      <c r="BJ393" s="22"/>
      <c r="BK393" s="22"/>
      <c r="BL393" s="22"/>
      <c r="BM393" s="22"/>
      <c r="BN393" s="22"/>
    </row>
    <row r="394" spans="1:66" ht="15.75" x14ac:dyDescent="0.25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  <c r="AQ394" s="22"/>
      <c r="AR394" s="22"/>
      <c r="AS394" s="22"/>
      <c r="AT394" s="22"/>
      <c r="AU394" s="22"/>
      <c r="AV394" s="22"/>
      <c r="AW394" s="22"/>
      <c r="AX394" s="22"/>
      <c r="AY394" s="22"/>
      <c r="AZ394" s="22"/>
      <c r="BA394" s="22"/>
      <c r="BB394" s="22"/>
      <c r="BC394" s="22"/>
      <c r="BD394" s="22"/>
      <c r="BE394" s="22"/>
      <c r="BF394" s="22"/>
      <c r="BG394" s="22"/>
      <c r="BH394" s="22"/>
      <c r="BI394" s="22"/>
      <c r="BJ394" s="22"/>
      <c r="BK394" s="22"/>
      <c r="BL394" s="22"/>
      <c r="BM394" s="22"/>
      <c r="BN394" s="22"/>
    </row>
    <row r="395" spans="1:66" ht="15.75" x14ac:dyDescent="0.25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  <c r="AQ395" s="22"/>
      <c r="AR395" s="22"/>
      <c r="AS395" s="22"/>
      <c r="AT395" s="22"/>
      <c r="AU395" s="22"/>
      <c r="AV395" s="22"/>
      <c r="AW395" s="22"/>
      <c r="AX395" s="22"/>
      <c r="AY395" s="22"/>
      <c r="AZ395" s="22"/>
      <c r="BA395" s="22"/>
      <c r="BB395" s="22"/>
      <c r="BC395" s="22"/>
      <c r="BD395" s="22"/>
      <c r="BE395" s="22"/>
      <c r="BF395" s="22"/>
      <c r="BG395" s="22"/>
      <c r="BH395" s="22"/>
      <c r="BI395" s="22"/>
      <c r="BJ395" s="22"/>
      <c r="BK395" s="22"/>
      <c r="BL395" s="22"/>
      <c r="BM395" s="22"/>
      <c r="BN395" s="22"/>
    </row>
    <row r="396" spans="1:66" ht="15.75" x14ac:dyDescent="0.25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  <c r="AQ396" s="22"/>
      <c r="AR396" s="22"/>
      <c r="AS396" s="22"/>
      <c r="AT396" s="22"/>
      <c r="AU396" s="22"/>
      <c r="AV396" s="22"/>
      <c r="AW396" s="22"/>
      <c r="AX396" s="22"/>
      <c r="AY396" s="22"/>
      <c r="AZ396" s="22"/>
      <c r="BA396" s="22"/>
      <c r="BB396" s="22"/>
      <c r="BC396" s="22"/>
      <c r="BD396" s="22"/>
      <c r="BE396" s="22"/>
      <c r="BF396" s="22"/>
      <c r="BG396" s="22"/>
      <c r="BH396" s="22"/>
      <c r="BI396" s="22"/>
      <c r="BJ396" s="22"/>
      <c r="BK396" s="22"/>
      <c r="BL396" s="22"/>
      <c r="BM396" s="22"/>
      <c r="BN396" s="22"/>
    </row>
    <row r="397" spans="1:66" ht="15.75" x14ac:dyDescent="0.25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  <c r="AQ397" s="22"/>
      <c r="AR397" s="22"/>
      <c r="AS397" s="22"/>
      <c r="AT397" s="22"/>
      <c r="AU397" s="22"/>
      <c r="AV397" s="22"/>
      <c r="AW397" s="22"/>
      <c r="AX397" s="22"/>
      <c r="AY397" s="22"/>
      <c r="AZ397" s="22"/>
      <c r="BA397" s="22"/>
      <c r="BB397" s="22"/>
      <c r="BC397" s="22"/>
      <c r="BD397" s="22"/>
      <c r="BE397" s="22"/>
      <c r="BF397" s="22"/>
      <c r="BG397" s="22"/>
      <c r="BH397" s="22"/>
      <c r="BI397" s="22"/>
      <c r="BJ397" s="22"/>
      <c r="BK397" s="22"/>
      <c r="BL397" s="22"/>
      <c r="BM397" s="22"/>
      <c r="BN397" s="22"/>
    </row>
    <row r="398" spans="1:66" ht="15.75" x14ac:dyDescent="0.25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  <c r="AQ398" s="22"/>
      <c r="AR398" s="22"/>
      <c r="AS398" s="22"/>
      <c r="AT398" s="22"/>
      <c r="AU398" s="22"/>
      <c r="AV398" s="22"/>
      <c r="AW398" s="22"/>
      <c r="AX398" s="22"/>
      <c r="AY398" s="22"/>
      <c r="AZ398" s="22"/>
      <c r="BA398" s="22"/>
      <c r="BB398" s="22"/>
      <c r="BC398" s="22"/>
      <c r="BD398" s="22"/>
      <c r="BE398" s="22"/>
      <c r="BF398" s="22"/>
      <c r="BG398" s="22"/>
      <c r="BH398" s="22"/>
      <c r="BI398" s="22"/>
      <c r="BJ398" s="22"/>
      <c r="BK398" s="22"/>
      <c r="BL398" s="22"/>
      <c r="BM398" s="22"/>
      <c r="BN398" s="22"/>
    </row>
    <row r="399" spans="1:66" ht="15.75" x14ac:dyDescent="0.25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  <c r="AQ399" s="22"/>
      <c r="AR399" s="22"/>
      <c r="AS399" s="22"/>
      <c r="AT399" s="22"/>
      <c r="AU399" s="22"/>
      <c r="AV399" s="22"/>
      <c r="AW399" s="22"/>
      <c r="AX399" s="22"/>
      <c r="AY399" s="22"/>
      <c r="AZ399" s="22"/>
      <c r="BA399" s="22"/>
      <c r="BB399" s="22"/>
      <c r="BC399" s="22"/>
      <c r="BD399" s="22"/>
      <c r="BE399" s="22"/>
      <c r="BF399" s="22"/>
      <c r="BG399" s="22"/>
      <c r="BH399" s="22"/>
      <c r="BI399" s="22"/>
      <c r="BJ399" s="22"/>
      <c r="BK399" s="22"/>
      <c r="BL399" s="22"/>
      <c r="BM399" s="22"/>
      <c r="BN399" s="22"/>
    </row>
    <row r="400" spans="1:66" ht="15.75" x14ac:dyDescent="0.25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  <c r="AQ400" s="22"/>
      <c r="AR400" s="22"/>
      <c r="AS400" s="22"/>
      <c r="AT400" s="22"/>
      <c r="AU400" s="22"/>
      <c r="AV400" s="22"/>
      <c r="AW400" s="22"/>
      <c r="AX400" s="22"/>
      <c r="AY400" s="22"/>
      <c r="AZ400" s="22"/>
      <c r="BA400" s="22"/>
      <c r="BB400" s="22"/>
      <c r="BC400" s="22"/>
      <c r="BD400" s="22"/>
      <c r="BE400" s="22"/>
      <c r="BF400" s="22"/>
      <c r="BG400" s="22"/>
      <c r="BH400" s="22"/>
      <c r="BI400" s="22"/>
      <c r="BJ400" s="22"/>
      <c r="BK400" s="22"/>
      <c r="BL400" s="22"/>
      <c r="BM400" s="22"/>
      <c r="BN400" s="22"/>
    </row>
    <row r="401" spans="1:66" ht="15.75" x14ac:dyDescent="0.25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  <c r="AQ401" s="22"/>
      <c r="AR401" s="22"/>
      <c r="AS401" s="22"/>
      <c r="AT401" s="22"/>
      <c r="AU401" s="22"/>
      <c r="AV401" s="22"/>
      <c r="AW401" s="22"/>
      <c r="AX401" s="22"/>
      <c r="AY401" s="22"/>
      <c r="AZ401" s="22"/>
      <c r="BA401" s="22"/>
      <c r="BB401" s="22"/>
      <c r="BC401" s="22"/>
      <c r="BD401" s="22"/>
      <c r="BE401" s="22"/>
      <c r="BF401" s="22"/>
      <c r="BG401" s="22"/>
      <c r="BH401" s="22"/>
      <c r="BI401" s="22"/>
      <c r="BJ401" s="22"/>
      <c r="BK401" s="22"/>
      <c r="BL401" s="22"/>
      <c r="BM401" s="22"/>
      <c r="BN401" s="22"/>
    </row>
    <row r="402" spans="1:66" ht="15.75" x14ac:dyDescent="0.25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  <c r="AQ402" s="22"/>
      <c r="AR402" s="22"/>
      <c r="AS402" s="22"/>
      <c r="AT402" s="22"/>
      <c r="AU402" s="22"/>
      <c r="AV402" s="22"/>
      <c r="AW402" s="22"/>
      <c r="AX402" s="22"/>
      <c r="AY402" s="22"/>
      <c r="AZ402" s="22"/>
      <c r="BA402" s="22"/>
      <c r="BB402" s="22"/>
      <c r="BC402" s="22"/>
      <c r="BD402" s="22"/>
      <c r="BE402" s="22"/>
      <c r="BF402" s="22"/>
      <c r="BG402" s="22"/>
      <c r="BH402" s="22"/>
      <c r="BI402" s="22"/>
      <c r="BJ402" s="22"/>
      <c r="BK402" s="22"/>
      <c r="BL402" s="22"/>
      <c r="BM402" s="22"/>
      <c r="BN402" s="22"/>
    </row>
    <row r="403" spans="1:66" ht="15.75" x14ac:dyDescent="0.25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  <c r="AQ403" s="22"/>
      <c r="AR403" s="22"/>
      <c r="AS403" s="22"/>
      <c r="AT403" s="22"/>
      <c r="AU403" s="22"/>
      <c r="AV403" s="22"/>
      <c r="AW403" s="22"/>
      <c r="AX403" s="22"/>
      <c r="AY403" s="22"/>
      <c r="AZ403" s="22"/>
      <c r="BA403" s="22"/>
      <c r="BB403" s="22"/>
      <c r="BC403" s="22"/>
      <c r="BD403" s="22"/>
      <c r="BE403" s="22"/>
      <c r="BF403" s="22"/>
      <c r="BG403" s="22"/>
      <c r="BH403" s="22"/>
      <c r="BI403" s="22"/>
      <c r="BJ403" s="22"/>
      <c r="BK403" s="22"/>
      <c r="BL403" s="22"/>
      <c r="BM403" s="22"/>
      <c r="BN403" s="22"/>
    </row>
    <row r="404" spans="1:66" ht="15.75" x14ac:dyDescent="0.25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  <c r="AQ404" s="22"/>
      <c r="AR404" s="22"/>
      <c r="AS404" s="22"/>
      <c r="AT404" s="22"/>
      <c r="AU404" s="22"/>
      <c r="AV404" s="22"/>
      <c r="AW404" s="22"/>
      <c r="AX404" s="22"/>
      <c r="AY404" s="22"/>
      <c r="AZ404" s="22"/>
      <c r="BA404" s="22"/>
      <c r="BB404" s="22"/>
      <c r="BC404" s="22"/>
      <c r="BD404" s="22"/>
      <c r="BE404" s="22"/>
      <c r="BF404" s="22"/>
      <c r="BG404" s="22"/>
      <c r="BH404" s="22"/>
      <c r="BI404" s="22"/>
      <c r="BJ404" s="22"/>
      <c r="BK404" s="22"/>
      <c r="BL404" s="22"/>
      <c r="BM404" s="22"/>
      <c r="BN404" s="22"/>
    </row>
    <row r="405" spans="1:66" ht="15.75" x14ac:dyDescent="0.25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  <c r="AQ405" s="22"/>
      <c r="AR405" s="22"/>
      <c r="AS405" s="22"/>
      <c r="AT405" s="22"/>
      <c r="AU405" s="22"/>
      <c r="AV405" s="22"/>
      <c r="AW405" s="22"/>
      <c r="AX405" s="22"/>
      <c r="AY405" s="22"/>
      <c r="AZ405" s="22"/>
      <c r="BA405" s="22"/>
      <c r="BB405" s="22"/>
      <c r="BC405" s="22"/>
      <c r="BD405" s="22"/>
      <c r="BE405" s="22"/>
      <c r="BF405" s="22"/>
      <c r="BG405" s="22"/>
      <c r="BH405" s="22"/>
      <c r="BI405" s="22"/>
      <c r="BJ405" s="22"/>
      <c r="BK405" s="22"/>
      <c r="BL405" s="22"/>
      <c r="BM405" s="22"/>
      <c r="BN405" s="22"/>
    </row>
    <row r="406" spans="1:66" ht="15.75" x14ac:dyDescent="0.25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  <c r="AQ406" s="22"/>
      <c r="AR406" s="22"/>
      <c r="AS406" s="22"/>
      <c r="AT406" s="22"/>
      <c r="AU406" s="22"/>
      <c r="AV406" s="22"/>
      <c r="AW406" s="22"/>
      <c r="AX406" s="22"/>
      <c r="AY406" s="22"/>
      <c r="AZ406" s="22"/>
      <c r="BA406" s="22"/>
      <c r="BB406" s="22"/>
      <c r="BC406" s="22"/>
      <c r="BD406" s="22"/>
      <c r="BE406" s="22"/>
      <c r="BF406" s="22"/>
      <c r="BG406" s="22"/>
      <c r="BH406" s="22"/>
      <c r="BI406" s="22"/>
      <c r="BJ406" s="22"/>
      <c r="BK406" s="22"/>
      <c r="BL406" s="22"/>
      <c r="BM406" s="22"/>
      <c r="BN406" s="22"/>
    </row>
    <row r="407" spans="1:66" ht="15.75" x14ac:dyDescent="0.25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  <c r="AQ407" s="22"/>
      <c r="AR407" s="22"/>
      <c r="AS407" s="22"/>
      <c r="AT407" s="22"/>
      <c r="AU407" s="22"/>
      <c r="AV407" s="22"/>
      <c r="AW407" s="22"/>
      <c r="AX407" s="22"/>
      <c r="AY407" s="22"/>
      <c r="AZ407" s="22"/>
      <c r="BA407" s="22"/>
      <c r="BB407" s="22"/>
      <c r="BC407" s="22"/>
      <c r="BD407" s="22"/>
      <c r="BE407" s="22"/>
      <c r="BF407" s="22"/>
      <c r="BG407" s="22"/>
      <c r="BH407" s="22"/>
      <c r="BI407" s="22"/>
      <c r="BJ407" s="22"/>
      <c r="BK407" s="22"/>
      <c r="BL407" s="22"/>
      <c r="BM407" s="22"/>
      <c r="BN407" s="22"/>
    </row>
    <row r="408" spans="1:66" ht="15.75" x14ac:dyDescent="0.25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  <c r="AQ408" s="22"/>
      <c r="AR408" s="22"/>
      <c r="AS408" s="22"/>
      <c r="AT408" s="22"/>
      <c r="AU408" s="22"/>
      <c r="AV408" s="22"/>
      <c r="AW408" s="22"/>
      <c r="AX408" s="22"/>
      <c r="AY408" s="22"/>
      <c r="AZ408" s="22"/>
      <c r="BA408" s="22"/>
      <c r="BB408" s="22"/>
      <c r="BC408" s="22"/>
      <c r="BD408" s="22"/>
      <c r="BE408" s="22"/>
      <c r="BF408" s="22"/>
      <c r="BG408" s="22"/>
      <c r="BH408" s="22"/>
      <c r="BI408" s="22"/>
      <c r="BJ408" s="22"/>
      <c r="BK408" s="22"/>
      <c r="BL408" s="22"/>
      <c r="BM408" s="22"/>
      <c r="BN408" s="22"/>
    </row>
    <row r="409" spans="1:66" ht="15.75" x14ac:dyDescent="0.25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  <c r="AQ409" s="22"/>
      <c r="AR409" s="22"/>
      <c r="AS409" s="22"/>
      <c r="AT409" s="22"/>
      <c r="AU409" s="22"/>
      <c r="AV409" s="22"/>
      <c r="AW409" s="22"/>
      <c r="AX409" s="22"/>
      <c r="AY409" s="22"/>
      <c r="AZ409" s="22"/>
      <c r="BA409" s="22"/>
      <c r="BB409" s="22"/>
      <c r="BC409" s="22"/>
      <c r="BD409" s="22"/>
      <c r="BE409" s="22"/>
      <c r="BF409" s="22"/>
      <c r="BG409" s="22"/>
      <c r="BH409" s="22"/>
      <c r="BI409" s="22"/>
      <c r="BJ409" s="22"/>
      <c r="BK409" s="22"/>
      <c r="BL409" s="22"/>
      <c r="BM409" s="22"/>
      <c r="BN409" s="22"/>
    </row>
    <row r="410" spans="1:66" ht="15.75" x14ac:dyDescent="0.25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  <c r="AQ410" s="22"/>
      <c r="AR410" s="22"/>
      <c r="AS410" s="22"/>
      <c r="AT410" s="22"/>
      <c r="AU410" s="22"/>
      <c r="AV410" s="22"/>
      <c r="AW410" s="22"/>
      <c r="AX410" s="22"/>
      <c r="AY410" s="22"/>
      <c r="AZ410" s="22"/>
      <c r="BA410" s="22"/>
      <c r="BB410" s="22"/>
      <c r="BC410" s="22"/>
      <c r="BD410" s="22"/>
      <c r="BE410" s="22"/>
      <c r="BF410" s="22"/>
      <c r="BG410" s="22"/>
      <c r="BH410" s="22"/>
      <c r="BI410" s="22"/>
      <c r="BJ410" s="22"/>
      <c r="BK410" s="22"/>
      <c r="BL410" s="22"/>
      <c r="BM410" s="22"/>
      <c r="BN410" s="22"/>
    </row>
    <row r="411" spans="1:66" ht="15.75" x14ac:dyDescent="0.25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  <c r="AQ411" s="22"/>
      <c r="AR411" s="22"/>
      <c r="AS411" s="22"/>
      <c r="AT411" s="22"/>
      <c r="AU411" s="22"/>
      <c r="AV411" s="22"/>
      <c r="AW411" s="22"/>
      <c r="AX411" s="22"/>
      <c r="AY411" s="22"/>
      <c r="AZ411" s="22"/>
      <c r="BA411" s="22"/>
      <c r="BB411" s="22"/>
      <c r="BC411" s="22"/>
      <c r="BD411" s="22"/>
      <c r="BE411" s="22"/>
      <c r="BF411" s="22"/>
      <c r="BG411" s="22"/>
      <c r="BH411" s="22"/>
      <c r="BI411" s="22"/>
      <c r="BJ411" s="22"/>
      <c r="BK411" s="22"/>
      <c r="BL411" s="22"/>
      <c r="BM411" s="22"/>
      <c r="BN411" s="22"/>
    </row>
    <row r="412" spans="1:66" ht="15.75" x14ac:dyDescent="0.25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  <c r="AQ412" s="22"/>
      <c r="AR412" s="22"/>
      <c r="AS412" s="22"/>
      <c r="AT412" s="22"/>
      <c r="AU412" s="22"/>
      <c r="AV412" s="22"/>
      <c r="AW412" s="22"/>
      <c r="AX412" s="22"/>
      <c r="AY412" s="22"/>
      <c r="AZ412" s="22"/>
      <c r="BA412" s="22"/>
      <c r="BB412" s="22"/>
      <c r="BC412" s="22"/>
      <c r="BD412" s="22"/>
      <c r="BE412" s="22"/>
      <c r="BF412" s="22"/>
      <c r="BG412" s="22"/>
      <c r="BH412" s="22"/>
      <c r="BI412" s="22"/>
      <c r="BJ412" s="22"/>
      <c r="BK412" s="22"/>
      <c r="BL412" s="22"/>
      <c r="BM412" s="22"/>
      <c r="BN412" s="22"/>
    </row>
    <row r="413" spans="1:66" ht="15.75" x14ac:dyDescent="0.25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  <c r="AQ413" s="22"/>
      <c r="AR413" s="22"/>
      <c r="AS413" s="22"/>
      <c r="AT413" s="22"/>
      <c r="AU413" s="22"/>
      <c r="AV413" s="22"/>
      <c r="AW413" s="22"/>
      <c r="AX413" s="22"/>
      <c r="AY413" s="22"/>
      <c r="AZ413" s="22"/>
      <c r="BA413" s="22"/>
      <c r="BB413" s="22"/>
      <c r="BC413" s="22"/>
      <c r="BD413" s="22"/>
      <c r="BE413" s="22"/>
      <c r="BF413" s="22"/>
      <c r="BG413" s="22"/>
      <c r="BH413" s="22"/>
      <c r="BI413" s="22"/>
      <c r="BJ413" s="22"/>
      <c r="BK413" s="22"/>
      <c r="BL413" s="22"/>
      <c r="BM413" s="22"/>
      <c r="BN413" s="22"/>
    </row>
    <row r="414" spans="1:66" ht="15.75" x14ac:dyDescent="0.25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  <c r="AQ414" s="22"/>
      <c r="AR414" s="22"/>
      <c r="AS414" s="22"/>
      <c r="AT414" s="22"/>
      <c r="AU414" s="22"/>
      <c r="AV414" s="22"/>
      <c r="AW414" s="22"/>
      <c r="AX414" s="22"/>
      <c r="AY414" s="22"/>
      <c r="AZ414" s="22"/>
      <c r="BA414" s="22"/>
      <c r="BB414" s="22"/>
      <c r="BC414" s="22"/>
      <c r="BD414" s="22"/>
      <c r="BE414" s="22"/>
      <c r="BF414" s="22"/>
      <c r="BG414" s="22"/>
      <c r="BH414" s="22"/>
      <c r="BI414" s="22"/>
      <c r="BJ414" s="22"/>
      <c r="BK414" s="22"/>
      <c r="BL414" s="22"/>
      <c r="BM414" s="22"/>
      <c r="BN414" s="22"/>
    </row>
    <row r="415" spans="1:66" ht="15.75" x14ac:dyDescent="0.25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  <c r="AQ415" s="22"/>
      <c r="AR415" s="22"/>
      <c r="AS415" s="22"/>
      <c r="AT415" s="22"/>
      <c r="AU415" s="22"/>
      <c r="AV415" s="22"/>
      <c r="AW415" s="22"/>
      <c r="AX415" s="22"/>
      <c r="AY415" s="22"/>
      <c r="AZ415" s="22"/>
      <c r="BA415" s="22"/>
      <c r="BB415" s="22"/>
      <c r="BC415" s="22"/>
      <c r="BD415" s="22"/>
      <c r="BE415" s="22"/>
      <c r="BF415" s="22"/>
      <c r="BG415" s="22"/>
      <c r="BH415" s="22"/>
      <c r="BI415" s="22"/>
      <c r="BJ415" s="22"/>
      <c r="BK415" s="22"/>
      <c r="BL415" s="22"/>
      <c r="BM415" s="22"/>
      <c r="BN415" s="22"/>
    </row>
    <row r="416" spans="1:66" ht="15.75" x14ac:dyDescent="0.25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  <c r="AQ416" s="22"/>
      <c r="AR416" s="22"/>
      <c r="AS416" s="22"/>
      <c r="AT416" s="22"/>
      <c r="AU416" s="22"/>
      <c r="AV416" s="22"/>
      <c r="AW416" s="22"/>
      <c r="AX416" s="22"/>
      <c r="AY416" s="22"/>
      <c r="AZ416" s="22"/>
      <c r="BA416" s="22"/>
      <c r="BB416" s="22"/>
      <c r="BC416" s="22"/>
      <c r="BD416" s="22"/>
      <c r="BE416" s="22"/>
      <c r="BF416" s="22"/>
      <c r="BG416" s="22"/>
      <c r="BH416" s="22"/>
      <c r="BI416" s="22"/>
      <c r="BJ416" s="22"/>
      <c r="BK416" s="22"/>
      <c r="BL416" s="22"/>
      <c r="BM416" s="22"/>
      <c r="BN416" s="22"/>
    </row>
    <row r="417" spans="1:66" ht="15.75" x14ac:dyDescent="0.25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  <c r="AQ417" s="22"/>
      <c r="AR417" s="22"/>
      <c r="AS417" s="22"/>
      <c r="AT417" s="22"/>
      <c r="AU417" s="22"/>
      <c r="AV417" s="22"/>
      <c r="AW417" s="22"/>
      <c r="AX417" s="22"/>
      <c r="AY417" s="22"/>
      <c r="AZ417" s="22"/>
      <c r="BA417" s="22"/>
      <c r="BB417" s="22"/>
      <c r="BC417" s="22"/>
      <c r="BD417" s="22"/>
      <c r="BE417" s="22"/>
      <c r="BF417" s="22"/>
      <c r="BG417" s="22"/>
      <c r="BH417" s="22"/>
      <c r="BI417" s="22"/>
      <c r="BJ417" s="22"/>
      <c r="BK417" s="22"/>
      <c r="BL417" s="22"/>
      <c r="BM417" s="22"/>
      <c r="BN417" s="22"/>
    </row>
    <row r="418" spans="1:66" ht="15.75" x14ac:dyDescent="0.25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  <c r="AQ418" s="22"/>
      <c r="AR418" s="22"/>
      <c r="AS418" s="22"/>
      <c r="AT418" s="22"/>
      <c r="AU418" s="22"/>
      <c r="AV418" s="22"/>
      <c r="AW418" s="22"/>
      <c r="AX418" s="22"/>
      <c r="AY418" s="22"/>
      <c r="AZ418" s="22"/>
      <c r="BA418" s="22"/>
      <c r="BB418" s="22"/>
      <c r="BC418" s="22"/>
      <c r="BD418" s="22"/>
      <c r="BE418" s="22"/>
      <c r="BF418" s="22"/>
      <c r="BG418" s="22"/>
      <c r="BH418" s="22"/>
      <c r="BI418" s="22"/>
      <c r="BJ418" s="22"/>
      <c r="BK418" s="22"/>
      <c r="BL418" s="22"/>
      <c r="BM418" s="22"/>
      <c r="BN418" s="22"/>
    </row>
    <row r="419" spans="1:66" ht="15.75" x14ac:dyDescent="0.25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  <c r="AQ419" s="22"/>
      <c r="AR419" s="22"/>
      <c r="AS419" s="22"/>
      <c r="AT419" s="22"/>
      <c r="AU419" s="22"/>
      <c r="AV419" s="22"/>
      <c r="AW419" s="22"/>
      <c r="AX419" s="22"/>
      <c r="AY419" s="22"/>
      <c r="AZ419" s="22"/>
      <c r="BA419" s="22"/>
      <c r="BB419" s="22"/>
      <c r="BC419" s="22"/>
      <c r="BD419" s="22"/>
      <c r="BE419" s="22"/>
      <c r="BF419" s="22"/>
      <c r="BG419" s="22"/>
      <c r="BH419" s="22"/>
      <c r="BI419" s="22"/>
      <c r="BJ419" s="22"/>
      <c r="BK419" s="22"/>
      <c r="BL419" s="22"/>
      <c r="BM419" s="22"/>
      <c r="BN419" s="22"/>
    </row>
    <row r="420" spans="1:66" ht="15.75" x14ac:dyDescent="0.25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  <c r="AQ420" s="22"/>
      <c r="AR420" s="22"/>
      <c r="AS420" s="22"/>
      <c r="AT420" s="22"/>
      <c r="AU420" s="22"/>
      <c r="AV420" s="22"/>
      <c r="AW420" s="22"/>
      <c r="AX420" s="22"/>
      <c r="AY420" s="22"/>
      <c r="AZ420" s="22"/>
      <c r="BA420" s="22"/>
      <c r="BB420" s="22"/>
      <c r="BC420" s="22"/>
      <c r="BD420" s="22"/>
      <c r="BE420" s="22"/>
      <c r="BF420" s="22"/>
      <c r="BG420" s="22"/>
      <c r="BH420" s="22"/>
      <c r="BI420" s="22"/>
      <c r="BJ420" s="22"/>
      <c r="BK420" s="22"/>
      <c r="BL420" s="22"/>
      <c r="BM420" s="22"/>
      <c r="BN420" s="22"/>
    </row>
    <row r="421" spans="1:66" ht="15.75" x14ac:dyDescent="0.25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  <c r="AQ421" s="22"/>
      <c r="AR421" s="22"/>
      <c r="AS421" s="22"/>
      <c r="AT421" s="22"/>
      <c r="AU421" s="22"/>
      <c r="AV421" s="22"/>
      <c r="AW421" s="22"/>
      <c r="AX421" s="22"/>
      <c r="AY421" s="22"/>
      <c r="AZ421" s="22"/>
      <c r="BA421" s="22"/>
      <c r="BB421" s="22"/>
      <c r="BC421" s="22"/>
      <c r="BD421" s="22"/>
      <c r="BE421" s="22"/>
      <c r="BF421" s="22"/>
      <c r="BG421" s="22"/>
      <c r="BH421" s="22"/>
      <c r="BI421" s="22"/>
      <c r="BJ421" s="22"/>
      <c r="BK421" s="22"/>
      <c r="BL421" s="22"/>
      <c r="BM421" s="22"/>
      <c r="BN421" s="22"/>
    </row>
    <row r="422" spans="1:66" ht="15.75" x14ac:dyDescent="0.25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  <c r="AQ422" s="22"/>
      <c r="AR422" s="22"/>
      <c r="AS422" s="22"/>
      <c r="AT422" s="22"/>
      <c r="AU422" s="22"/>
      <c r="AV422" s="22"/>
      <c r="AW422" s="22"/>
      <c r="AX422" s="22"/>
      <c r="AY422" s="22"/>
      <c r="AZ422" s="22"/>
      <c r="BA422" s="22"/>
      <c r="BB422" s="22"/>
      <c r="BC422" s="22"/>
      <c r="BD422" s="22"/>
      <c r="BE422" s="22"/>
      <c r="BF422" s="22"/>
      <c r="BG422" s="22"/>
      <c r="BH422" s="22"/>
      <c r="BI422" s="22"/>
      <c r="BJ422" s="22"/>
      <c r="BK422" s="22"/>
      <c r="BL422" s="22"/>
      <c r="BM422" s="22"/>
      <c r="BN422" s="22"/>
    </row>
    <row r="423" spans="1:66" ht="15.75" x14ac:dyDescent="0.25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  <c r="AQ423" s="22"/>
      <c r="AR423" s="22"/>
      <c r="AS423" s="22"/>
      <c r="AT423" s="22"/>
      <c r="AU423" s="22"/>
      <c r="AV423" s="22"/>
      <c r="AW423" s="22"/>
      <c r="AX423" s="22"/>
      <c r="AY423" s="22"/>
      <c r="AZ423" s="22"/>
      <c r="BA423" s="22"/>
      <c r="BB423" s="22"/>
      <c r="BC423" s="22"/>
      <c r="BD423" s="22"/>
      <c r="BE423" s="22"/>
      <c r="BF423" s="22"/>
      <c r="BG423" s="22"/>
      <c r="BH423" s="22"/>
      <c r="BI423" s="22"/>
      <c r="BJ423" s="22"/>
      <c r="BK423" s="22"/>
      <c r="BL423" s="22"/>
      <c r="BM423" s="22"/>
      <c r="BN423" s="22"/>
    </row>
    <row r="424" spans="1:66" ht="15.75" x14ac:dyDescent="0.25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  <c r="AQ424" s="22"/>
      <c r="AR424" s="22"/>
      <c r="AS424" s="22"/>
      <c r="AT424" s="22"/>
      <c r="AU424" s="22"/>
      <c r="AV424" s="22"/>
      <c r="AW424" s="22"/>
      <c r="AX424" s="22"/>
      <c r="AY424" s="22"/>
      <c r="AZ424" s="22"/>
      <c r="BA424" s="22"/>
      <c r="BB424" s="22"/>
      <c r="BC424" s="22"/>
      <c r="BD424" s="22"/>
      <c r="BE424" s="22"/>
      <c r="BF424" s="22"/>
      <c r="BG424" s="22"/>
      <c r="BH424" s="22"/>
      <c r="BI424" s="22"/>
      <c r="BJ424" s="22"/>
      <c r="BK424" s="22"/>
      <c r="BL424" s="22"/>
      <c r="BM424" s="22"/>
      <c r="BN424" s="22"/>
    </row>
  </sheetData>
  <mergeCells count="80">
    <mergeCell ref="J82:K82"/>
    <mergeCell ref="J58:K58"/>
    <mergeCell ref="J62:K62"/>
    <mergeCell ref="J66:K66"/>
    <mergeCell ref="J70:K70"/>
    <mergeCell ref="J74:K74"/>
    <mergeCell ref="J78:K78"/>
    <mergeCell ref="B102:C102"/>
    <mergeCell ref="A81:H81"/>
    <mergeCell ref="B82:C82"/>
    <mergeCell ref="A85:H85"/>
    <mergeCell ref="B86:C86"/>
    <mergeCell ref="A89:H89"/>
    <mergeCell ref="B90:C90"/>
    <mergeCell ref="A93:H93"/>
    <mergeCell ref="B94:C94"/>
    <mergeCell ref="A97:H97"/>
    <mergeCell ref="B98:C98"/>
    <mergeCell ref="A101:H101"/>
    <mergeCell ref="B78:C78"/>
    <mergeCell ref="A57:H57"/>
    <mergeCell ref="B58:C58"/>
    <mergeCell ref="A61:H61"/>
    <mergeCell ref="B62:C62"/>
    <mergeCell ref="A65:H65"/>
    <mergeCell ref="B66:C66"/>
    <mergeCell ref="A69:H69"/>
    <mergeCell ref="B70:C70"/>
    <mergeCell ref="A73:H73"/>
    <mergeCell ref="B74:C74"/>
    <mergeCell ref="A77:H77"/>
    <mergeCell ref="A49:H49"/>
    <mergeCell ref="B50:C50"/>
    <mergeCell ref="J50:K50"/>
    <mergeCell ref="A53:H53"/>
    <mergeCell ref="B54:C54"/>
    <mergeCell ref="J54:K54"/>
    <mergeCell ref="B46:C46"/>
    <mergeCell ref="J46:K46"/>
    <mergeCell ref="B34:C34"/>
    <mergeCell ref="J34:K34"/>
    <mergeCell ref="A37:H37"/>
    <mergeCell ref="I37:P37"/>
    <mergeCell ref="B38:C38"/>
    <mergeCell ref="J38:K38"/>
    <mergeCell ref="A41:H41"/>
    <mergeCell ref="I41:P41"/>
    <mergeCell ref="B42:C42"/>
    <mergeCell ref="J42:K42"/>
    <mergeCell ref="A45:H45"/>
    <mergeCell ref="A29:H29"/>
    <mergeCell ref="I29:P29"/>
    <mergeCell ref="B30:C30"/>
    <mergeCell ref="J30:K30"/>
    <mergeCell ref="A33:H33"/>
    <mergeCell ref="I33:P33"/>
    <mergeCell ref="B22:C22"/>
    <mergeCell ref="J22:K22"/>
    <mergeCell ref="A25:H25"/>
    <mergeCell ref="I25:P25"/>
    <mergeCell ref="B26:C26"/>
    <mergeCell ref="J26:K26"/>
    <mergeCell ref="A17:H17"/>
    <mergeCell ref="I17:P17"/>
    <mergeCell ref="B18:C18"/>
    <mergeCell ref="J18:K18"/>
    <mergeCell ref="A21:H21"/>
    <mergeCell ref="I21:P21"/>
    <mergeCell ref="B10:C10"/>
    <mergeCell ref="J10:K10"/>
    <mergeCell ref="A13:H13"/>
    <mergeCell ref="I13:P13"/>
    <mergeCell ref="B14:C14"/>
    <mergeCell ref="J14:K14"/>
    <mergeCell ref="B2:P2"/>
    <mergeCell ref="I5:P5"/>
    <mergeCell ref="B6:C6"/>
    <mergeCell ref="J6:K6"/>
    <mergeCell ref="A9:H9"/>
    <mergeCell ref="I9:P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AF497"/>
  <sheetViews>
    <sheetView topLeftCell="A4" zoomScale="70" zoomScaleNormal="70" workbookViewId="0">
      <selection activeCell="L8" sqref="L8"/>
    </sheetView>
  </sheetViews>
  <sheetFormatPr baseColWidth="10" defaultColWidth="11.5703125" defaultRowHeight="15.75" x14ac:dyDescent="0.25"/>
  <cols>
    <col min="1" max="1" width="5.7109375" style="53" customWidth="1"/>
    <col min="2" max="2" width="10.7109375" style="53" customWidth="1"/>
    <col min="3" max="4" width="8.7109375" style="53" customWidth="1"/>
    <col min="5" max="5" width="5.7109375" style="53" customWidth="1"/>
    <col min="6" max="6" width="10.7109375" style="53" customWidth="1"/>
    <col min="7" max="9" width="18.7109375" style="53" customWidth="1"/>
    <col min="10" max="10" width="5.7109375" style="53" customWidth="1"/>
    <col min="11" max="11" width="10.7109375" style="53" customWidth="1"/>
    <col min="12" max="12" width="10.7109375" style="63" customWidth="1"/>
    <col min="13" max="13" width="12.28515625" style="53" customWidth="1"/>
    <col min="14" max="14" width="12.5703125" style="53" bestFit="1" customWidth="1"/>
    <col min="15" max="15" width="11.5703125" style="53"/>
    <col min="16" max="32" width="11.5703125" style="60"/>
    <col min="33" max="16384" width="11.5703125" style="53"/>
  </cols>
  <sheetData>
    <row r="1" spans="1:32" ht="15" customHeight="1" x14ac:dyDescent="0.25"/>
    <row r="2" spans="1:32" s="62" customFormat="1" ht="49.9" customHeight="1" x14ac:dyDescent="0.25"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</row>
    <row r="3" spans="1:32" s="62" customFormat="1" ht="15" customHeight="1" thickBot="1" x14ac:dyDescent="0.3">
      <c r="B3" s="27"/>
      <c r="C3" s="27"/>
      <c r="D3" s="27"/>
      <c r="E3" s="27"/>
      <c r="F3" s="27"/>
      <c r="G3" s="27"/>
      <c r="H3" s="27"/>
      <c r="I3" s="27"/>
      <c r="L3" s="63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</row>
    <row r="4" spans="1:32" ht="19.899999999999999" customHeight="1" thickBot="1" x14ac:dyDescent="0.3">
      <c r="B4" s="112"/>
      <c r="C4" s="112"/>
      <c r="D4" s="112"/>
      <c r="E4" s="112"/>
      <c r="F4" s="573" t="s">
        <v>33</v>
      </c>
      <c r="G4" s="574"/>
      <c r="H4" s="574"/>
      <c r="I4" s="575"/>
      <c r="K4" s="579" t="s">
        <v>149</v>
      </c>
      <c r="L4" s="580"/>
      <c r="M4" s="580"/>
      <c r="N4" s="581"/>
    </row>
    <row r="5" spans="1:32" ht="19.899999999999999" customHeight="1" thickBot="1" x14ac:dyDescent="0.3">
      <c r="B5" s="118" t="s">
        <v>27</v>
      </c>
      <c r="C5" s="119">
        <f>'Dotaciones - Caudales'!J16</f>
        <v>0.43166666666666664</v>
      </c>
      <c r="D5" s="120" t="s">
        <v>28</v>
      </c>
      <c r="F5" s="576"/>
      <c r="G5" s="577"/>
      <c r="H5" s="577"/>
      <c r="I5" s="578"/>
      <c r="K5" s="582"/>
      <c r="L5" s="583"/>
      <c r="M5" s="583"/>
      <c r="N5" s="584"/>
    </row>
    <row r="6" spans="1:32" ht="40.15" customHeight="1" thickBot="1" x14ac:dyDescent="0.3">
      <c r="A6" s="112"/>
      <c r="B6" s="113"/>
      <c r="C6" s="112"/>
      <c r="D6" s="112"/>
      <c r="F6" s="125" t="s">
        <v>29</v>
      </c>
      <c r="G6" s="121" t="s">
        <v>34</v>
      </c>
      <c r="H6" s="126" t="s">
        <v>35</v>
      </c>
      <c r="I6" s="125" t="s">
        <v>36</v>
      </c>
      <c r="K6" s="132" t="s">
        <v>139</v>
      </c>
      <c r="L6" s="132" t="s">
        <v>60</v>
      </c>
      <c r="M6" s="133" t="s">
        <v>53</v>
      </c>
      <c r="N6" s="132" t="s">
        <v>54</v>
      </c>
    </row>
    <row r="7" spans="1:32" ht="19.899999999999999" customHeight="1" x14ac:dyDescent="0.25">
      <c r="A7" s="112"/>
      <c r="B7" s="113"/>
      <c r="C7" s="112"/>
      <c r="D7" s="112"/>
      <c r="F7" s="135" t="s">
        <v>37</v>
      </c>
      <c r="G7" s="98">
        <f>54.5644+13.0457+29.365</f>
        <v>96.975099999999998</v>
      </c>
      <c r="H7" s="93">
        <f>G7</f>
        <v>96.975099999999998</v>
      </c>
      <c r="I7" s="116">
        <f t="shared" ref="I7:I23" si="0">$C$10*H7</f>
        <v>1.6684251904942927E-2</v>
      </c>
      <c r="K7" s="135" t="s">
        <v>41</v>
      </c>
      <c r="L7" s="122">
        <f>'Cotas Nodos'!G12</f>
        <v>202.57871478028855</v>
      </c>
      <c r="M7" s="138"/>
      <c r="N7" s="137">
        <f>-C9</f>
        <v>-0.43166666666666664</v>
      </c>
    </row>
    <row r="8" spans="1:32" ht="19.899999999999999" customHeight="1" thickBot="1" x14ac:dyDescent="0.3">
      <c r="A8" s="112"/>
      <c r="B8" s="113"/>
      <c r="C8" s="112"/>
      <c r="D8" s="112"/>
      <c r="F8" s="136" t="s">
        <v>38</v>
      </c>
      <c r="G8" s="65">
        <f>31.0512+4.4269+50.7825</f>
        <v>86.260599999999997</v>
      </c>
      <c r="H8" s="94">
        <f t="shared" ref="H8:H23" si="1">G8</f>
        <v>86.260599999999997</v>
      </c>
      <c r="I8" s="115">
        <f t="shared" si="0"/>
        <v>1.4840856878430854E-2</v>
      </c>
      <c r="K8" s="136" t="s">
        <v>42</v>
      </c>
      <c r="L8" s="123">
        <f>'Cotas Nodos'!G16</f>
        <v>198.81575519879846</v>
      </c>
      <c r="M8" s="96">
        <f>I7</f>
        <v>1.6684251904942927E-2</v>
      </c>
      <c r="N8" s="117">
        <f t="shared" ref="N8:N22" si="2">SUM(M8:M8)</f>
        <v>1.6684251904942927E-2</v>
      </c>
    </row>
    <row r="9" spans="1:32" ht="19.899999999999999" customHeight="1" x14ac:dyDescent="0.25">
      <c r="B9" s="58" t="s">
        <v>30</v>
      </c>
      <c r="C9" s="64">
        <f>SUM(C5:C7)</f>
        <v>0.43166666666666664</v>
      </c>
      <c r="D9" s="55" t="s">
        <v>28</v>
      </c>
      <c r="F9" s="136" t="s">
        <v>39</v>
      </c>
      <c r="G9" s="65">
        <f>8.6112+4.5919+41.8581+2.9871+47.1923+2.0736+4.074</f>
        <v>111.3882</v>
      </c>
      <c r="H9" s="94">
        <f t="shared" si="1"/>
        <v>111.3882</v>
      </c>
      <c r="I9" s="115">
        <f t="shared" si="0"/>
        <v>1.9163979083683995E-2</v>
      </c>
      <c r="K9" s="136" t="s">
        <v>43</v>
      </c>
      <c r="L9" s="123">
        <f>'Cotas Nodos'!G20</f>
        <v>203.46611977916717</v>
      </c>
      <c r="M9" s="96">
        <f>I8</f>
        <v>1.4840856878430854E-2</v>
      </c>
      <c r="N9" s="117">
        <f t="shared" si="2"/>
        <v>1.4840856878430854E-2</v>
      </c>
    </row>
    <row r="10" spans="1:32" ht="19.899999999999999" customHeight="1" thickBot="1" x14ac:dyDescent="0.3">
      <c r="B10" s="59" t="s">
        <v>31</v>
      </c>
      <c r="C10" s="114">
        <f>C5/H24</f>
        <v>1.7204676153922944E-4</v>
      </c>
      <c r="D10" s="56" t="s">
        <v>32</v>
      </c>
      <c r="F10" s="136" t="s">
        <v>64</v>
      </c>
      <c r="G10" s="65">
        <f>40.1558+2.7337+51.5964</f>
        <v>94.485900000000001</v>
      </c>
      <c r="H10" s="94">
        <f t="shared" si="1"/>
        <v>94.485900000000001</v>
      </c>
      <c r="I10" s="115">
        <f t="shared" si="0"/>
        <v>1.6255993106119478E-2</v>
      </c>
      <c r="K10" s="136" t="s">
        <v>44</v>
      </c>
      <c r="L10" s="123">
        <f>'Cotas Nodos'!G24</f>
        <v>199.02770432880732</v>
      </c>
      <c r="M10" s="96">
        <f>I9</f>
        <v>1.9163979083683995E-2</v>
      </c>
      <c r="N10" s="117">
        <f t="shared" si="2"/>
        <v>1.9163979083683995E-2</v>
      </c>
    </row>
    <row r="11" spans="1:32" ht="19.899999999999999" customHeight="1" x14ac:dyDescent="0.25">
      <c r="F11" s="136" t="s">
        <v>65</v>
      </c>
      <c r="G11" s="65">
        <f>19.4068+56.2171</f>
        <v>75.623900000000006</v>
      </c>
      <c r="H11" s="94">
        <f t="shared" si="1"/>
        <v>75.623900000000006</v>
      </c>
      <c r="I11" s="115">
        <f t="shared" si="0"/>
        <v>1.3010847089966533E-2</v>
      </c>
      <c r="K11" s="136" t="s">
        <v>45</v>
      </c>
      <c r="L11" s="123">
        <f>'Cotas Nodos'!G28</f>
        <v>198</v>
      </c>
      <c r="M11" s="96">
        <f>I10</f>
        <v>1.6255993106119478E-2</v>
      </c>
      <c r="N11" s="117">
        <f t="shared" si="2"/>
        <v>1.6255993106119478E-2</v>
      </c>
    </row>
    <row r="12" spans="1:32" ht="19.899999999999999" customHeight="1" x14ac:dyDescent="0.25">
      <c r="F12" s="136" t="s">
        <v>61</v>
      </c>
      <c r="G12" s="65">
        <v>33.049199999999999</v>
      </c>
      <c r="H12" s="94">
        <f t="shared" si="1"/>
        <v>33.049199999999999</v>
      </c>
      <c r="I12" s="115">
        <f t="shared" si="0"/>
        <v>5.6860078314623017E-3</v>
      </c>
      <c r="K12" s="136" t="s">
        <v>46</v>
      </c>
      <c r="L12" s="123">
        <f>'Cotas Nodos'!G32</f>
        <v>193.17675255357341</v>
      </c>
      <c r="M12" s="96">
        <f t="shared" ref="M12:M13" si="3">I11</f>
        <v>1.3010847089966533E-2</v>
      </c>
      <c r="N12" s="117">
        <f t="shared" si="2"/>
        <v>1.3010847089966533E-2</v>
      </c>
    </row>
    <row r="13" spans="1:32" ht="19.899999999999999" customHeight="1" x14ac:dyDescent="0.25">
      <c r="F13" s="136" t="s">
        <v>143</v>
      </c>
      <c r="G13" s="65">
        <f>10.4928+1.9823+13.6011</f>
        <v>26.0762</v>
      </c>
      <c r="H13" s="94">
        <f t="shared" si="1"/>
        <v>26.0762</v>
      </c>
      <c r="I13" s="115">
        <f t="shared" si="0"/>
        <v>4.4863257632492548E-3</v>
      </c>
      <c r="K13" s="136" t="s">
        <v>47</v>
      </c>
      <c r="L13" s="123">
        <f>'Cotas Nodos'!G36</f>
        <v>194.32283570323222</v>
      </c>
      <c r="M13" s="96">
        <f t="shared" si="3"/>
        <v>5.6860078314623017E-3</v>
      </c>
      <c r="N13" s="117">
        <f t="shared" si="2"/>
        <v>5.6860078314623017E-3</v>
      </c>
    </row>
    <row r="14" spans="1:32" ht="19.899999999999999" customHeight="1" x14ac:dyDescent="0.25">
      <c r="F14" s="136" t="s">
        <v>141</v>
      </c>
      <c r="G14" s="65">
        <f>17.5476</f>
        <v>17.547599999999999</v>
      </c>
      <c r="H14" s="94">
        <f t="shared" si="1"/>
        <v>17.547599999999999</v>
      </c>
      <c r="I14" s="115">
        <f t="shared" si="0"/>
        <v>3.0190077527857823E-3</v>
      </c>
      <c r="K14" s="136" t="s">
        <v>48</v>
      </c>
      <c r="L14" s="123">
        <f>'Cotas Nodos'!G40</f>
        <v>202</v>
      </c>
      <c r="M14" s="96">
        <f>I14</f>
        <v>3.0190077527857823E-3</v>
      </c>
      <c r="N14" s="117">
        <f t="shared" si="2"/>
        <v>3.0190077527857823E-3</v>
      </c>
    </row>
    <row r="15" spans="1:32" ht="19.899999999999999" customHeight="1" x14ac:dyDescent="0.25">
      <c r="F15" s="136" t="s">
        <v>85</v>
      </c>
      <c r="G15" s="65">
        <f>64.2649+2.7272+23.8971+2.0415+2.7006</f>
        <v>95.631299999999982</v>
      </c>
      <c r="H15" s="94">
        <f t="shared" si="1"/>
        <v>95.631299999999982</v>
      </c>
      <c r="I15" s="115">
        <f t="shared" si="0"/>
        <v>1.645305546678651E-2</v>
      </c>
      <c r="K15" s="136" t="s">
        <v>49</v>
      </c>
      <c r="L15" s="123">
        <f>'Cotas Nodos'!G44</f>
        <v>194.57906331745801</v>
      </c>
      <c r="M15" s="96">
        <f>I15</f>
        <v>1.645305546678651E-2</v>
      </c>
      <c r="N15" s="117">
        <f t="shared" si="2"/>
        <v>1.645305546678651E-2</v>
      </c>
    </row>
    <row r="16" spans="1:32" ht="19.899999999999999" customHeight="1" x14ac:dyDescent="0.25">
      <c r="F16" s="136" t="s">
        <v>86</v>
      </c>
      <c r="G16" s="65">
        <v>4.4747000000000003</v>
      </c>
      <c r="H16" s="94">
        <f t="shared" si="1"/>
        <v>4.4747000000000003</v>
      </c>
      <c r="I16" s="115">
        <f t="shared" si="0"/>
        <v>7.6985764385958998E-4</v>
      </c>
      <c r="K16" s="136" t="s">
        <v>50</v>
      </c>
      <c r="L16" s="123">
        <f>'Cotas Nodos'!G48</f>
        <v>194.41788864029897</v>
      </c>
      <c r="M16" s="96">
        <f>I16</f>
        <v>7.6985764385958998E-4</v>
      </c>
      <c r="N16" s="117">
        <f t="shared" si="2"/>
        <v>7.6985764385958998E-4</v>
      </c>
    </row>
    <row r="17" spans="4:32" ht="19.899999999999999" customHeight="1" x14ac:dyDescent="0.25">
      <c r="F17" s="136" t="s">
        <v>142</v>
      </c>
      <c r="G17" s="65">
        <v>44.459099999999999</v>
      </c>
      <c r="H17" s="94">
        <f t="shared" si="1"/>
        <v>44.459099999999999</v>
      </c>
      <c r="I17" s="115">
        <f t="shared" si="0"/>
        <v>7.6490441759487554E-3</v>
      </c>
      <c r="K17" s="136" t="s">
        <v>93</v>
      </c>
      <c r="L17" s="123">
        <f>'Cotas Nodos'!G68</f>
        <v>194.23403717631419</v>
      </c>
      <c r="M17" s="96">
        <f>I13+I17</f>
        <v>1.2135369939198011E-2</v>
      </c>
      <c r="N17" s="117">
        <f t="shared" si="2"/>
        <v>1.2135369939198011E-2</v>
      </c>
    </row>
    <row r="18" spans="4:32" ht="19.899999999999999" customHeight="1" x14ac:dyDescent="0.25">
      <c r="F18" s="136" t="s">
        <v>144</v>
      </c>
      <c r="G18" s="65">
        <f>7.7649+15.0843+0.7776</f>
        <v>23.626799999999999</v>
      </c>
      <c r="H18" s="94">
        <f t="shared" si="1"/>
        <v>23.626799999999999</v>
      </c>
      <c r="I18" s="115">
        <f t="shared" si="0"/>
        <v>4.0649144255350657E-3</v>
      </c>
      <c r="K18" s="136" t="s">
        <v>51</v>
      </c>
      <c r="L18" s="123">
        <f>'Cotas Nodos'!G52</f>
        <v>194.21120303185927</v>
      </c>
      <c r="M18" s="96">
        <f>I18</f>
        <v>4.0649144255350657E-3</v>
      </c>
      <c r="N18" s="117">
        <f t="shared" si="2"/>
        <v>4.0649144255350657E-3</v>
      </c>
    </row>
    <row r="19" spans="4:32" ht="19.899999999999999" customHeight="1" x14ac:dyDescent="0.25">
      <c r="F19" s="136" t="s">
        <v>40</v>
      </c>
      <c r="G19" s="65">
        <f>0.7776+827.5934</f>
        <v>828.37099999999998</v>
      </c>
      <c r="H19" s="94">
        <f t="shared" si="1"/>
        <v>828.37099999999998</v>
      </c>
      <c r="I19" s="115">
        <f t="shared" si="0"/>
        <v>0.14251854790301302</v>
      </c>
      <c r="K19" s="136" t="s">
        <v>52</v>
      </c>
      <c r="L19" s="123">
        <f>'Cotas Nodos'!G56</f>
        <v>191.43270753762943</v>
      </c>
      <c r="M19" s="96">
        <f>I19</f>
        <v>0.14251854790301302</v>
      </c>
      <c r="N19" s="117">
        <f t="shared" si="2"/>
        <v>0.14251854790301302</v>
      </c>
    </row>
    <row r="20" spans="4:32" s="97" customFormat="1" ht="19.899999999999999" customHeight="1" x14ac:dyDescent="0.25">
      <c r="F20" s="136" t="s">
        <v>145</v>
      </c>
      <c r="G20" s="134">
        <v>6.3987999999999996</v>
      </c>
      <c r="H20" s="94">
        <f t="shared" si="1"/>
        <v>6.3987999999999996</v>
      </c>
      <c r="I20" s="115">
        <f t="shared" si="0"/>
        <v>1.1008928177372213E-3</v>
      </c>
      <c r="K20" s="136" t="s">
        <v>94</v>
      </c>
      <c r="L20" s="123">
        <f>'Cotas Nodos'!G72</f>
        <v>191.57637897815874</v>
      </c>
      <c r="M20" s="96">
        <f>I20</f>
        <v>1.1008928177372213E-3</v>
      </c>
      <c r="N20" s="117">
        <f t="shared" si="2"/>
        <v>1.1008928177372213E-3</v>
      </c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</row>
    <row r="21" spans="4:32" s="97" customFormat="1" ht="19.899999999999999" customHeight="1" x14ac:dyDescent="0.25">
      <c r="F21" s="136" t="s">
        <v>146</v>
      </c>
      <c r="G21" s="134">
        <f>82.5322+1.1161+29.7781+1.322+93.4626+1.4367+3.2128</f>
        <v>212.8605</v>
      </c>
      <c r="H21" s="94">
        <f t="shared" si="1"/>
        <v>212.8605</v>
      </c>
      <c r="I21" s="115">
        <f t="shared" si="0"/>
        <v>3.6621959684621147E-2</v>
      </c>
      <c r="K21" s="136" t="s">
        <v>63</v>
      </c>
      <c r="L21" s="123">
        <f>'Cotas Nodos'!G60</f>
        <v>193.27366527166598</v>
      </c>
      <c r="M21" s="96">
        <f>I21</f>
        <v>3.6621959684621147E-2</v>
      </c>
      <c r="N21" s="117">
        <f t="shared" si="2"/>
        <v>3.6621959684621147E-2</v>
      </c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</row>
    <row r="22" spans="4:32" s="97" customFormat="1" ht="19.899999999999999" customHeight="1" thickBot="1" x14ac:dyDescent="0.3">
      <c r="F22" s="136" t="s">
        <v>147</v>
      </c>
      <c r="G22" s="134">
        <f>135.0365+1.2662+45.0303+1.5877+71.7764+2.5072+15.6321+5.9963+68.0319+2.9653</f>
        <v>349.82990000000001</v>
      </c>
      <c r="H22" s="94">
        <f t="shared" si="1"/>
        <v>349.82990000000001</v>
      </c>
      <c r="I22" s="115">
        <f t="shared" si="0"/>
        <v>6.0187101384592483E-2</v>
      </c>
      <c r="K22" s="139" t="s">
        <v>92</v>
      </c>
      <c r="L22" s="140">
        <f>'Cotas Nodos'!G64</f>
        <v>194</v>
      </c>
      <c r="M22" s="141">
        <f>I22+I23</f>
        <v>0.12934112513852422</v>
      </c>
      <c r="N22" s="117">
        <f t="shared" si="2"/>
        <v>0.12934112513852422</v>
      </c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</row>
    <row r="23" spans="4:32" s="97" customFormat="1" ht="19.899999999999999" customHeight="1" thickBot="1" x14ac:dyDescent="0.3">
      <c r="F23" s="139" t="s">
        <v>148</v>
      </c>
      <c r="G23" s="134">
        <f>64.5821+11.1226+58.7025+12.6019+172.9458+6.5303+72.4985+2.9653</f>
        <v>401.94900000000001</v>
      </c>
      <c r="H23" s="275">
        <f t="shared" si="1"/>
        <v>401.94900000000001</v>
      </c>
      <c r="I23" s="276">
        <f t="shared" si="0"/>
        <v>6.9154023753931732E-2</v>
      </c>
      <c r="K23" s="593" t="s">
        <v>55</v>
      </c>
      <c r="L23" s="594"/>
      <c r="M23" s="599">
        <f ca="1">SUM(M8:M32)</f>
        <v>0.21999409500972189</v>
      </c>
      <c r="N23" s="602">
        <f>SUM(N7:N22)</f>
        <v>0</v>
      </c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</row>
    <row r="24" spans="4:32" s="97" customFormat="1" ht="19.899999999999999" customHeight="1" x14ac:dyDescent="0.25">
      <c r="F24" s="585" t="s">
        <v>56</v>
      </c>
      <c r="G24" s="586"/>
      <c r="H24" s="589">
        <f>SUM(H7:H23)</f>
        <v>2509.0077999999999</v>
      </c>
      <c r="I24" s="590"/>
      <c r="K24" s="595"/>
      <c r="L24" s="596"/>
      <c r="M24" s="600"/>
      <c r="N24" s="603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</row>
    <row r="25" spans="4:32" s="97" customFormat="1" ht="19.899999999999999" customHeight="1" thickBot="1" x14ac:dyDescent="0.3">
      <c r="F25" s="587"/>
      <c r="G25" s="588"/>
      <c r="H25" s="591"/>
      <c r="I25" s="592"/>
      <c r="K25" s="597"/>
      <c r="L25" s="598"/>
      <c r="M25" s="601"/>
      <c r="N25" s="60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</row>
    <row r="26" spans="4:32" s="97" customFormat="1" ht="19.899999999999999" customHeight="1" x14ac:dyDescent="0.25">
      <c r="D26" s="263"/>
      <c r="E26" s="263"/>
      <c r="F26" s="222"/>
      <c r="G26" s="198"/>
      <c r="H26" s="198"/>
      <c r="I26" s="264"/>
      <c r="K26" s="222"/>
      <c r="L26" s="198"/>
      <c r="M26" s="33"/>
      <c r="N26" s="268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</row>
    <row r="27" spans="4:32" s="97" customFormat="1" ht="19.899999999999999" customHeight="1" x14ac:dyDescent="0.25">
      <c r="D27" s="263"/>
      <c r="E27" s="263"/>
      <c r="F27" s="222"/>
      <c r="G27" s="198"/>
      <c r="H27" s="198"/>
      <c r="I27" s="264"/>
      <c r="K27" s="222"/>
      <c r="L27" s="198"/>
      <c r="M27" s="33"/>
      <c r="N27" s="268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</row>
    <row r="28" spans="4:32" s="97" customFormat="1" ht="19.899999999999999" customHeight="1" x14ac:dyDescent="0.25">
      <c r="D28" s="263"/>
      <c r="E28" s="263"/>
      <c r="F28" s="222"/>
      <c r="G28" s="198"/>
      <c r="H28" s="198"/>
      <c r="I28" s="264"/>
      <c r="K28" s="222"/>
      <c r="L28" s="198"/>
      <c r="M28" s="33"/>
      <c r="N28" s="268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</row>
    <row r="29" spans="4:32" s="97" customFormat="1" ht="19.899999999999999" customHeight="1" x14ac:dyDescent="0.25">
      <c r="D29" s="263"/>
      <c r="E29" s="263"/>
      <c r="F29" s="222"/>
      <c r="G29" s="198"/>
      <c r="H29" s="198"/>
      <c r="I29" s="264"/>
      <c r="K29" s="222"/>
      <c r="L29" s="198"/>
      <c r="M29" s="33"/>
      <c r="N29" s="268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</row>
    <row r="30" spans="4:32" s="97" customFormat="1" ht="19.899999999999999" customHeight="1" x14ac:dyDescent="0.25">
      <c r="D30" s="263"/>
      <c r="E30" s="263"/>
      <c r="F30" s="222"/>
      <c r="G30" s="198"/>
      <c r="H30" s="198"/>
      <c r="I30" s="264"/>
      <c r="K30" s="222"/>
      <c r="L30" s="198"/>
      <c r="M30" s="33"/>
      <c r="N30" s="268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</row>
    <row r="31" spans="4:32" s="97" customFormat="1" ht="19.899999999999999" customHeight="1" x14ac:dyDescent="0.25">
      <c r="D31" s="263"/>
      <c r="E31" s="263"/>
      <c r="F31" s="222"/>
      <c r="G31" s="198"/>
      <c r="H31" s="198"/>
      <c r="I31" s="264"/>
      <c r="K31" s="222"/>
      <c r="L31" s="198"/>
      <c r="M31" s="33"/>
      <c r="N31" s="268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</row>
    <row r="32" spans="4:32" s="97" customFormat="1" ht="19.899999999999999" customHeight="1" x14ac:dyDescent="0.25">
      <c r="D32" s="263"/>
      <c r="E32" s="263"/>
      <c r="F32" s="222"/>
      <c r="G32" s="198"/>
      <c r="H32" s="198"/>
      <c r="I32" s="264"/>
      <c r="K32" s="222"/>
      <c r="L32" s="198"/>
      <c r="M32" s="33"/>
      <c r="N32" s="268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</row>
    <row r="33" spans="4:9" x14ac:dyDescent="0.25">
      <c r="D33" s="263"/>
      <c r="E33" s="263"/>
      <c r="F33" s="263"/>
      <c r="G33" s="263"/>
      <c r="H33" s="263"/>
      <c r="I33" s="263"/>
    </row>
    <row r="35" spans="4:9" s="60" customFormat="1" x14ac:dyDescent="0.25"/>
    <row r="36" spans="4:9" s="60" customFormat="1" x14ac:dyDescent="0.25"/>
    <row r="37" spans="4:9" s="60" customFormat="1" x14ac:dyDescent="0.25"/>
    <row r="38" spans="4:9" s="60" customFormat="1" x14ac:dyDescent="0.25"/>
    <row r="39" spans="4:9" s="60" customFormat="1" x14ac:dyDescent="0.25"/>
    <row r="40" spans="4:9" s="60" customFormat="1" x14ac:dyDescent="0.25"/>
    <row r="41" spans="4:9" s="60" customFormat="1" x14ac:dyDescent="0.25"/>
    <row r="42" spans="4:9" s="60" customFormat="1" x14ac:dyDescent="0.25"/>
    <row r="43" spans="4:9" s="60" customFormat="1" x14ac:dyDescent="0.25"/>
    <row r="44" spans="4:9" s="60" customFormat="1" x14ac:dyDescent="0.25"/>
    <row r="45" spans="4:9" s="60" customFormat="1" x14ac:dyDescent="0.25"/>
    <row r="46" spans="4:9" s="60" customFormat="1" x14ac:dyDescent="0.25"/>
    <row r="47" spans="4:9" s="60" customFormat="1" x14ac:dyDescent="0.25"/>
    <row r="48" spans="4:9" s="60" customFormat="1" x14ac:dyDescent="0.25"/>
    <row r="49" s="60" customFormat="1" x14ac:dyDescent="0.25"/>
    <row r="50" s="60" customFormat="1" x14ac:dyDescent="0.25"/>
    <row r="51" s="60" customFormat="1" x14ac:dyDescent="0.25"/>
    <row r="52" s="60" customFormat="1" x14ac:dyDescent="0.25"/>
    <row r="53" s="60" customFormat="1" x14ac:dyDescent="0.25"/>
    <row r="54" s="60" customFormat="1" x14ac:dyDescent="0.25"/>
    <row r="55" s="60" customFormat="1" x14ac:dyDescent="0.25"/>
    <row r="56" s="60" customFormat="1" x14ac:dyDescent="0.25"/>
    <row r="57" s="60" customFormat="1" x14ac:dyDescent="0.25"/>
    <row r="58" s="60" customFormat="1" x14ac:dyDescent="0.25"/>
    <row r="59" s="60" customFormat="1" x14ac:dyDescent="0.25"/>
    <row r="60" s="60" customFormat="1" x14ac:dyDescent="0.25"/>
    <row r="61" s="60" customFormat="1" x14ac:dyDescent="0.25"/>
    <row r="62" s="60" customFormat="1" x14ac:dyDescent="0.25"/>
    <row r="63" s="60" customFormat="1" x14ac:dyDescent="0.25"/>
    <row r="64" s="60" customFormat="1" x14ac:dyDescent="0.25"/>
    <row r="65" s="60" customFormat="1" x14ac:dyDescent="0.25"/>
    <row r="66" s="60" customFormat="1" x14ac:dyDescent="0.25"/>
    <row r="67" s="60" customFormat="1" x14ac:dyDescent="0.25"/>
    <row r="68" s="60" customFormat="1" x14ac:dyDescent="0.25"/>
    <row r="69" s="60" customFormat="1" x14ac:dyDescent="0.25"/>
    <row r="70" s="60" customFormat="1" x14ac:dyDescent="0.25"/>
    <row r="71" s="60" customFormat="1" x14ac:dyDescent="0.25"/>
    <row r="72" s="60" customFormat="1" x14ac:dyDescent="0.25"/>
    <row r="73" s="60" customFormat="1" x14ac:dyDescent="0.25"/>
    <row r="74" s="60" customFormat="1" x14ac:dyDescent="0.25"/>
    <row r="75" s="60" customFormat="1" x14ac:dyDescent="0.25"/>
    <row r="76" s="60" customFormat="1" x14ac:dyDescent="0.25"/>
    <row r="77" s="60" customFormat="1" x14ac:dyDescent="0.25"/>
    <row r="78" s="60" customFormat="1" x14ac:dyDescent="0.25"/>
    <row r="79" s="60" customFormat="1" x14ac:dyDescent="0.25"/>
    <row r="80" s="60" customFormat="1" x14ac:dyDescent="0.25"/>
    <row r="81" s="60" customFormat="1" x14ac:dyDescent="0.25"/>
    <row r="82" s="60" customFormat="1" x14ac:dyDescent="0.25"/>
    <row r="83" s="60" customFormat="1" x14ac:dyDescent="0.25"/>
    <row r="84" s="60" customFormat="1" x14ac:dyDescent="0.25"/>
    <row r="85" s="60" customFormat="1" x14ac:dyDescent="0.25"/>
    <row r="86" s="60" customFormat="1" x14ac:dyDescent="0.25"/>
    <row r="87" s="60" customFormat="1" x14ac:dyDescent="0.25"/>
    <row r="88" s="60" customFormat="1" x14ac:dyDescent="0.25"/>
    <row r="89" s="60" customFormat="1" x14ac:dyDescent="0.25"/>
    <row r="90" s="60" customFormat="1" x14ac:dyDescent="0.25"/>
    <row r="91" s="60" customFormat="1" x14ac:dyDescent="0.25"/>
    <row r="92" s="60" customFormat="1" x14ac:dyDescent="0.25"/>
    <row r="93" s="60" customFormat="1" x14ac:dyDescent="0.25"/>
    <row r="94" s="60" customFormat="1" x14ac:dyDescent="0.25"/>
    <row r="95" s="60" customFormat="1" x14ac:dyDescent="0.25"/>
    <row r="96" s="60" customFormat="1" x14ac:dyDescent="0.25"/>
    <row r="97" s="60" customFormat="1" x14ac:dyDescent="0.25"/>
    <row r="98" s="60" customFormat="1" x14ac:dyDescent="0.25"/>
    <row r="99" s="60" customFormat="1" x14ac:dyDescent="0.25"/>
    <row r="100" s="60" customFormat="1" x14ac:dyDescent="0.25"/>
    <row r="101" s="60" customFormat="1" x14ac:dyDescent="0.25"/>
    <row r="102" s="60" customFormat="1" x14ac:dyDescent="0.25"/>
    <row r="103" s="60" customFormat="1" x14ac:dyDescent="0.25"/>
    <row r="104" s="60" customFormat="1" x14ac:dyDescent="0.25"/>
    <row r="105" s="60" customFormat="1" x14ac:dyDescent="0.25"/>
    <row r="106" s="60" customFormat="1" x14ac:dyDescent="0.25"/>
    <row r="107" s="60" customFormat="1" x14ac:dyDescent="0.25"/>
    <row r="108" s="60" customFormat="1" x14ac:dyDescent="0.25"/>
    <row r="109" s="60" customFormat="1" x14ac:dyDescent="0.25"/>
    <row r="110" s="60" customFormat="1" x14ac:dyDescent="0.25"/>
    <row r="111" s="60" customFormat="1" x14ac:dyDescent="0.25"/>
    <row r="112" s="60" customFormat="1" x14ac:dyDescent="0.25"/>
    <row r="113" s="60" customFormat="1" x14ac:dyDescent="0.25"/>
    <row r="114" s="60" customFormat="1" x14ac:dyDescent="0.25"/>
    <row r="115" s="60" customFormat="1" x14ac:dyDescent="0.25"/>
    <row r="116" s="60" customFormat="1" x14ac:dyDescent="0.25"/>
    <row r="117" s="60" customFormat="1" x14ac:dyDescent="0.25"/>
    <row r="118" s="60" customFormat="1" x14ac:dyDescent="0.25"/>
    <row r="119" s="60" customFormat="1" x14ac:dyDescent="0.25"/>
    <row r="120" s="60" customFormat="1" x14ac:dyDescent="0.25"/>
    <row r="121" s="60" customFormat="1" x14ac:dyDescent="0.25"/>
    <row r="122" s="60" customFormat="1" x14ac:dyDescent="0.25"/>
    <row r="123" s="60" customFormat="1" x14ac:dyDescent="0.25"/>
    <row r="124" s="60" customFormat="1" x14ac:dyDescent="0.25"/>
    <row r="125" s="60" customFormat="1" x14ac:dyDescent="0.25"/>
    <row r="126" s="60" customFormat="1" x14ac:dyDescent="0.25"/>
    <row r="127" s="60" customFormat="1" x14ac:dyDescent="0.25"/>
    <row r="128" s="60" customFormat="1" x14ac:dyDescent="0.25"/>
    <row r="129" s="60" customFormat="1" x14ac:dyDescent="0.25"/>
    <row r="130" s="60" customFormat="1" x14ac:dyDescent="0.25"/>
    <row r="131" s="60" customFormat="1" x14ac:dyDescent="0.25"/>
    <row r="132" s="60" customFormat="1" x14ac:dyDescent="0.25"/>
    <row r="133" s="60" customFormat="1" x14ac:dyDescent="0.25"/>
    <row r="134" s="60" customFormat="1" x14ac:dyDescent="0.25"/>
    <row r="135" s="60" customFormat="1" x14ac:dyDescent="0.25"/>
    <row r="136" s="60" customFormat="1" x14ac:dyDescent="0.25"/>
    <row r="137" s="60" customFormat="1" x14ac:dyDescent="0.25"/>
    <row r="138" s="60" customFormat="1" x14ac:dyDescent="0.25"/>
    <row r="139" s="60" customFormat="1" x14ac:dyDescent="0.25"/>
    <row r="140" s="60" customFormat="1" x14ac:dyDescent="0.25"/>
    <row r="141" s="60" customFormat="1" x14ac:dyDescent="0.25"/>
    <row r="142" s="60" customFormat="1" x14ac:dyDescent="0.25"/>
    <row r="143" s="60" customFormat="1" x14ac:dyDescent="0.25"/>
    <row r="144" s="60" customFormat="1" x14ac:dyDescent="0.25"/>
    <row r="145" s="60" customFormat="1" x14ac:dyDescent="0.25"/>
    <row r="146" s="60" customFormat="1" x14ac:dyDescent="0.25"/>
    <row r="147" s="60" customFormat="1" x14ac:dyDescent="0.25"/>
    <row r="148" s="60" customFormat="1" x14ac:dyDescent="0.25"/>
    <row r="149" s="60" customFormat="1" x14ac:dyDescent="0.25"/>
    <row r="150" s="60" customFormat="1" x14ac:dyDescent="0.25"/>
    <row r="151" s="60" customFormat="1" x14ac:dyDescent="0.25"/>
    <row r="152" s="60" customFormat="1" x14ac:dyDescent="0.25"/>
    <row r="153" s="60" customFormat="1" x14ac:dyDescent="0.25"/>
    <row r="154" s="60" customFormat="1" x14ac:dyDescent="0.25"/>
    <row r="155" s="60" customFormat="1" x14ac:dyDescent="0.25"/>
    <row r="156" s="60" customFormat="1" x14ac:dyDescent="0.25"/>
    <row r="157" s="60" customFormat="1" x14ac:dyDescent="0.25"/>
    <row r="158" s="60" customFormat="1" x14ac:dyDescent="0.25"/>
    <row r="159" s="60" customFormat="1" x14ac:dyDescent="0.25"/>
    <row r="160" s="60" customFormat="1" x14ac:dyDescent="0.25"/>
    <row r="161" s="60" customFormat="1" x14ac:dyDescent="0.25"/>
    <row r="162" s="60" customFormat="1" x14ac:dyDescent="0.25"/>
    <row r="163" s="60" customFormat="1" x14ac:dyDescent="0.25"/>
    <row r="164" s="60" customFormat="1" x14ac:dyDescent="0.25"/>
    <row r="165" s="60" customFormat="1" x14ac:dyDescent="0.25"/>
    <row r="166" s="60" customFormat="1" x14ac:dyDescent="0.25"/>
    <row r="167" s="60" customFormat="1" x14ac:dyDescent="0.25"/>
    <row r="168" s="60" customFormat="1" x14ac:dyDescent="0.25"/>
    <row r="169" s="60" customFormat="1" x14ac:dyDescent="0.25"/>
    <row r="170" s="60" customFormat="1" x14ac:dyDescent="0.25"/>
    <row r="171" s="60" customFormat="1" x14ac:dyDescent="0.25"/>
    <row r="172" s="60" customFormat="1" x14ac:dyDescent="0.25"/>
    <row r="173" s="60" customFormat="1" x14ac:dyDescent="0.25"/>
    <row r="174" s="60" customFormat="1" x14ac:dyDescent="0.25"/>
    <row r="175" s="60" customFormat="1" x14ac:dyDescent="0.25"/>
    <row r="176" s="60" customFormat="1" x14ac:dyDescent="0.25"/>
    <row r="177" s="60" customFormat="1" x14ac:dyDescent="0.25"/>
    <row r="178" s="60" customFormat="1" x14ac:dyDescent="0.25"/>
    <row r="179" s="60" customFormat="1" x14ac:dyDescent="0.25"/>
    <row r="180" s="60" customFormat="1" x14ac:dyDescent="0.25"/>
    <row r="181" s="60" customFormat="1" x14ac:dyDescent="0.25"/>
    <row r="182" s="60" customFormat="1" x14ac:dyDescent="0.25"/>
    <row r="183" s="60" customFormat="1" x14ac:dyDescent="0.25"/>
    <row r="184" s="60" customFormat="1" x14ac:dyDescent="0.25"/>
    <row r="185" s="60" customFormat="1" x14ac:dyDescent="0.25"/>
    <row r="186" s="60" customFormat="1" x14ac:dyDescent="0.25"/>
    <row r="187" s="60" customFormat="1" x14ac:dyDescent="0.25"/>
    <row r="188" s="60" customFormat="1" x14ac:dyDescent="0.25"/>
    <row r="189" s="60" customFormat="1" x14ac:dyDescent="0.25"/>
    <row r="190" s="60" customFormat="1" x14ac:dyDescent="0.25"/>
    <row r="191" s="60" customFormat="1" x14ac:dyDescent="0.25"/>
    <row r="192" s="60" customFormat="1" x14ac:dyDescent="0.25"/>
    <row r="193" s="60" customFormat="1" x14ac:dyDescent="0.25"/>
    <row r="194" s="60" customFormat="1" x14ac:dyDescent="0.25"/>
    <row r="195" s="60" customFormat="1" x14ac:dyDescent="0.25"/>
    <row r="196" s="60" customFormat="1" x14ac:dyDescent="0.25"/>
    <row r="197" s="60" customFormat="1" x14ac:dyDescent="0.25"/>
    <row r="198" s="60" customFormat="1" x14ac:dyDescent="0.25"/>
    <row r="199" s="60" customFormat="1" x14ac:dyDescent="0.25"/>
    <row r="200" s="60" customFormat="1" x14ac:dyDescent="0.25"/>
    <row r="201" s="60" customFormat="1" x14ac:dyDescent="0.25"/>
    <row r="202" s="60" customFormat="1" x14ac:dyDescent="0.25"/>
    <row r="203" s="60" customFormat="1" x14ac:dyDescent="0.25"/>
    <row r="204" s="60" customFormat="1" x14ac:dyDescent="0.25"/>
    <row r="205" s="60" customFormat="1" x14ac:dyDescent="0.25"/>
    <row r="206" s="60" customFormat="1" x14ac:dyDescent="0.25"/>
    <row r="207" s="60" customFormat="1" x14ac:dyDescent="0.25"/>
    <row r="208" s="60" customFormat="1" x14ac:dyDescent="0.25"/>
    <row r="209" s="60" customFormat="1" x14ac:dyDescent="0.25"/>
    <row r="210" s="60" customFormat="1" x14ac:dyDescent="0.25"/>
    <row r="211" s="60" customFormat="1" x14ac:dyDescent="0.25"/>
    <row r="212" s="60" customFormat="1" x14ac:dyDescent="0.25"/>
    <row r="213" s="60" customFormat="1" x14ac:dyDescent="0.25"/>
    <row r="214" s="60" customFormat="1" x14ac:dyDescent="0.25"/>
    <row r="215" s="60" customFormat="1" x14ac:dyDescent="0.25"/>
    <row r="216" s="60" customFormat="1" x14ac:dyDescent="0.25"/>
    <row r="217" s="60" customFormat="1" x14ac:dyDescent="0.25"/>
    <row r="218" s="60" customFormat="1" x14ac:dyDescent="0.25"/>
    <row r="219" s="60" customFormat="1" x14ac:dyDescent="0.25"/>
    <row r="220" s="60" customFormat="1" x14ac:dyDescent="0.25"/>
    <row r="221" s="60" customFormat="1" x14ac:dyDescent="0.25"/>
    <row r="222" s="60" customFormat="1" x14ac:dyDescent="0.25"/>
    <row r="223" s="60" customFormat="1" x14ac:dyDescent="0.25"/>
    <row r="224" s="60" customFormat="1" x14ac:dyDescent="0.25"/>
    <row r="225" s="60" customFormat="1" x14ac:dyDescent="0.25"/>
    <row r="226" s="60" customFormat="1" x14ac:dyDescent="0.25"/>
    <row r="227" s="60" customFormat="1" x14ac:dyDescent="0.25"/>
    <row r="228" s="60" customFormat="1" x14ac:dyDescent="0.25"/>
    <row r="229" s="60" customFormat="1" x14ac:dyDescent="0.25"/>
    <row r="230" s="60" customFormat="1" x14ac:dyDescent="0.25"/>
    <row r="231" s="60" customFormat="1" x14ac:dyDescent="0.25"/>
    <row r="232" s="60" customFormat="1" x14ac:dyDescent="0.25"/>
    <row r="233" s="60" customFormat="1" x14ac:dyDescent="0.25"/>
    <row r="234" s="60" customFormat="1" x14ac:dyDescent="0.25"/>
    <row r="235" s="60" customFormat="1" x14ac:dyDescent="0.25"/>
    <row r="236" s="60" customFormat="1" x14ac:dyDescent="0.25"/>
    <row r="237" s="60" customFormat="1" x14ac:dyDescent="0.25"/>
    <row r="238" s="60" customFormat="1" x14ac:dyDescent="0.25"/>
    <row r="239" s="60" customFormat="1" x14ac:dyDescent="0.25"/>
    <row r="240" s="60" customFormat="1" x14ac:dyDescent="0.25"/>
    <row r="241" s="60" customFormat="1" x14ac:dyDescent="0.25"/>
    <row r="242" s="60" customFormat="1" x14ac:dyDescent="0.25"/>
    <row r="243" s="60" customFormat="1" x14ac:dyDescent="0.25"/>
    <row r="244" s="60" customFormat="1" x14ac:dyDescent="0.25"/>
    <row r="245" s="60" customFormat="1" x14ac:dyDescent="0.25"/>
    <row r="246" s="60" customFormat="1" x14ac:dyDescent="0.25"/>
    <row r="247" s="60" customFormat="1" x14ac:dyDescent="0.25"/>
    <row r="248" s="60" customFormat="1" x14ac:dyDescent="0.25"/>
    <row r="249" s="60" customFormat="1" x14ac:dyDescent="0.25"/>
    <row r="250" s="60" customFormat="1" x14ac:dyDescent="0.25"/>
    <row r="251" s="60" customFormat="1" x14ac:dyDescent="0.25"/>
    <row r="252" s="60" customFormat="1" x14ac:dyDescent="0.25"/>
    <row r="253" s="60" customFormat="1" x14ac:dyDescent="0.25"/>
    <row r="254" s="60" customFormat="1" x14ac:dyDescent="0.25"/>
    <row r="255" s="60" customFormat="1" x14ac:dyDescent="0.25"/>
    <row r="256" s="60" customFormat="1" x14ac:dyDescent="0.25"/>
    <row r="257" s="60" customFormat="1" x14ac:dyDescent="0.25"/>
    <row r="258" s="60" customFormat="1" x14ac:dyDescent="0.25"/>
    <row r="259" s="60" customFormat="1" x14ac:dyDescent="0.25"/>
    <row r="260" s="60" customFormat="1" x14ac:dyDescent="0.25"/>
    <row r="261" s="60" customFormat="1" x14ac:dyDescent="0.25"/>
    <row r="262" s="60" customFormat="1" x14ac:dyDescent="0.25"/>
    <row r="263" s="60" customFormat="1" x14ac:dyDescent="0.25"/>
    <row r="264" s="60" customFormat="1" x14ac:dyDescent="0.25"/>
    <row r="265" s="60" customFormat="1" x14ac:dyDescent="0.25"/>
    <row r="266" s="60" customFormat="1" x14ac:dyDescent="0.25"/>
    <row r="267" s="60" customFormat="1" x14ac:dyDescent="0.25"/>
    <row r="268" s="60" customFormat="1" x14ac:dyDescent="0.25"/>
    <row r="269" s="60" customFormat="1" x14ac:dyDescent="0.25"/>
    <row r="270" s="60" customFormat="1" x14ac:dyDescent="0.25"/>
    <row r="271" s="60" customFormat="1" x14ac:dyDescent="0.25"/>
    <row r="272" s="60" customFormat="1" x14ac:dyDescent="0.25"/>
    <row r="273" s="60" customFormat="1" x14ac:dyDescent="0.25"/>
    <row r="274" s="60" customFormat="1" x14ac:dyDescent="0.25"/>
    <row r="275" s="60" customFormat="1" x14ac:dyDescent="0.25"/>
    <row r="276" s="60" customFormat="1" x14ac:dyDescent="0.25"/>
    <row r="277" s="60" customFormat="1" x14ac:dyDescent="0.25"/>
    <row r="278" s="60" customFormat="1" x14ac:dyDescent="0.25"/>
    <row r="279" s="60" customFormat="1" x14ac:dyDescent="0.25"/>
    <row r="280" s="60" customFormat="1" x14ac:dyDescent="0.25"/>
    <row r="281" s="60" customFormat="1" x14ac:dyDescent="0.25"/>
    <row r="282" s="60" customFormat="1" x14ac:dyDescent="0.25"/>
    <row r="283" s="60" customFormat="1" x14ac:dyDescent="0.25"/>
    <row r="284" s="60" customFormat="1" x14ac:dyDescent="0.25"/>
    <row r="285" s="60" customFormat="1" x14ac:dyDescent="0.25"/>
    <row r="286" s="60" customFormat="1" x14ac:dyDescent="0.25"/>
    <row r="287" s="60" customFormat="1" x14ac:dyDescent="0.25"/>
    <row r="288" s="60" customFormat="1" x14ac:dyDescent="0.25"/>
    <row r="289" s="60" customFormat="1" x14ac:dyDescent="0.25"/>
    <row r="290" s="60" customFormat="1" x14ac:dyDescent="0.25"/>
    <row r="291" s="60" customFormat="1" x14ac:dyDescent="0.25"/>
    <row r="292" s="60" customFormat="1" x14ac:dyDescent="0.25"/>
    <row r="293" s="60" customFormat="1" x14ac:dyDescent="0.25"/>
    <row r="294" s="60" customFormat="1" x14ac:dyDescent="0.25"/>
    <row r="295" s="60" customFormat="1" x14ac:dyDescent="0.25"/>
    <row r="296" s="60" customFormat="1" x14ac:dyDescent="0.25"/>
    <row r="297" s="60" customFormat="1" x14ac:dyDescent="0.25"/>
    <row r="298" s="60" customFormat="1" x14ac:dyDescent="0.25"/>
    <row r="299" s="60" customFormat="1" x14ac:dyDescent="0.25"/>
    <row r="300" s="60" customFormat="1" x14ac:dyDescent="0.25"/>
    <row r="301" s="60" customFormat="1" x14ac:dyDescent="0.25"/>
    <row r="302" s="60" customFormat="1" x14ac:dyDescent="0.25"/>
    <row r="303" s="60" customFormat="1" x14ac:dyDescent="0.25"/>
    <row r="304" s="60" customFormat="1" x14ac:dyDescent="0.25"/>
    <row r="305" s="60" customFormat="1" x14ac:dyDescent="0.25"/>
    <row r="306" s="60" customFormat="1" x14ac:dyDescent="0.25"/>
    <row r="307" s="60" customFormat="1" x14ac:dyDescent="0.25"/>
    <row r="308" s="60" customFormat="1" x14ac:dyDescent="0.25"/>
    <row r="309" s="60" customFormat="1" x14ac:dyDescent="0.25"/>
    <row r="310" s="60" customFormat="1" x14ac:dyDescent="0.25"/>
    <row r="311" s="60" customFormat="1" x14ac:dyDescent="0.25"/>
    <row r="312" s="60" customFormat="1" x14ac:dyDescent="0.25"/>
    <row r="313" s="60" customFormat="1" x14ac:dyDescent="0.25"/>
    <row r="314" s="60" customFormat="1" x14ac:dyDescent="0.25"/>
    <row r="315" s="60" customFormat="1" x14ac:dyDescent="0.25"/>
    <row r="316" s="60" customFormat="1" x14ac:dyDescent="0.25"/>
    <row r="317" s="60" customFormat="1" x14ac:dyDescent="0.25"/>
    <row r="318" s="60" customFormat="1" x14ac:dyDescent="0.25"/>
    <row r="319" s="60" customFormat="1" x14ac:dyDescent="0.25"/>
    <row r="320" s="60" customFormat="1" x14ac:dyDescent="0.25"/>
    <row r="321" s="60" customFormat="1" x14ac:dyDescent="0.25"/>
    <row r="322" s="60" customFormat="1" x14ac:dyDescent="0.25"/>
    <row r="323" s="60" customFormat="1" x14ac:dyDescent="0.25"/>
    <row r="324" s="60" customFormat="1" x14ac:dyDescent="0.25"/>
    <row r="325" s="60" customFormat="1" x14ac:dyDescent="0.25"/>
    <row r="326" s="60" customFormat="1" x14ac:dyDescent="0.25"/>
    <row r="327" s="60" customFormat="1" x14ac:dyDescent="0.25"/>
    <row r="328" s="60" customFormat="1" x14ac:dyDescent="0.25"/>
    <row r="329" s="60" customFormat="1" x14ac:dyDescent="0.25"/>
    <row r="330" s="60" customFormat="1" x14ac:dyDescent="0.25"/>
    <row r="331" s="60" customFormat="1" x14ac:dyDescent="0.25"/>
    <row r="332" s="60" customFormat="1" x14ac:dyDescent="0.25"/>
    <row r="333" s="60" customFormat="1" x14ac:dyDescent="0.25"/>
    <row r="334" s="60" customFormat="1" x14ac:dyDescent="0.25"/>
    <row r="335" s="60" customFormat="1" x14ac:dyDescent="0.25"/>
    <row r="336" s="60" customFormat="1" x14ac:dyDescent="0.25"/>
    <row r="337" s="60" customFormat="1" x14ac:dyDescent="0.25"/>
    <row r="338" s="60" customFormat="1" x14ac:dyDescent="0.25"/>
    <row r="339" s="60" customFormat="1" x14ac:dyDescent="0.25"/>
    <row r="340" s="60" customFormat="1" x14ac:dyDescent="0.25"/>
    <row r="341" s="60" customFormat="1" x14ac:dyDescent="0.25"/>
    <row r="342" s="60" customFormat="1" x14ac:dyDescent="0.25"/>
    <row r="343" s="60" customFormat="1" x14ac:dyDescent="0.25"/>
    <row r="344" s="60" customFormat="1" x14ac:dyDescent="0.25"/>
    <row r="345" s="60" customFormat="1" x14ac:dyDescent="0.25"/>
    <row r="346" s="60" customFormat="1" x14ac:dyDescent="0.25"/>
    <row r="347" s="60" customFormat="1" x14ac:dyDescent="0.25"/>
    <row r="348" s="60" customFormat="1" x14ac:dyDescent="0.25"/>
    <row r="349" s="60" customFormat="1" x14ac:dyDescent="0.25"/>
    <row r="350" s="60" customFormat="1" x14ac:dyDescent="0.25"/>
    <row r="351" s="60" customFormat="1" x14ac:dyDescent="0.25"/>
    <row r="352" s="60" customFormat="1" x14ac:dyDescent="0.25"/>
    <row r="353" s="60" customFormat="1" x14ac:dyDescent="0.25"/>
    <row r="354" s="60" customFormat="1" x14ac:dyDescent="0.25"/>
    <row r="355" s="60" customFormat="1" x14ac:dyDescent="0.25"/>
    <row r="356" s="60" customFormat="1" x14ac:dyDescent="0.25"/>
    <row r="357" s="60" customFormat="1" x14ac:dyDescent="0.25"/>
    <row r="358" s="60" customFormat="1" x14ac:dyDescent="0.25"/>
    <row r="359" s="60" customFormat="1" x14ac:dyDescent="0.25"/>
    <row r="360" s="60" customFormat="1" x14ac:dyDescent="0.25"/>
    <row r="361" s="60" customFormat="1" x14ac:dyDescent="0.25"/>
    <row r="362" s="60" customFormat="1" x14ac:dyDescent="0.25"/>
    <row r="363" s="60" customFormat="1" x14ac:dyDescent="0.25"/>
    <row r="364" s="60" customFormat="1" x14ac:dyDescent="0.25"/>
    <row r="365" s="60" customFormat="1" x14ac:dyDescent="0.25"/>
    <row r="366" s="60" customFormat="1" x14ac:dyDescent="0.25"/>
    <row r="367" s="60" customFormat="1" x14ac:dyDescent="0.25"/>
    <row r="368" s="60" customFormat="1" x14ac:dyDescent="0.25"/>
    <row r="369" s="60" customFormat="1" x14ac:dyDescent="0.25"/>
    <row r="370" s="60" customFormat="1" x14ac:dyDescent="0.25"/>
    <row r="371" s="60" customFormat="1" x14ac:dyDescent="0.25"/>
    <row r="372" s="60" customFormat="1" x14ac:dyDescent="0.25"/>
    <row r="373" s="60" customFormat="1" x14ac:dyDescent="0.25"/>
    <row r="374" s="60" customFormat="1" x14ac:dyDescent="0.25"/>
    <row r="375" s="60" customFormat="1" x14ac:dyDescent="0.25"/>
    <row r="376" s="60" customFormat="1" x14ac:dyDescent="0.25"/>
    <row r="377" s="60" customFormat="1" x14ac:dyDescent="0.25"/>
    <row r="378" s="60" customFormat="1" x14ac:dyDescent="0.25"/>
    <row r="379" s="60" customFormat="1" x14ac:dyDescent="0.25"/>
    <row r="380" s="60" customFormat="1" x14ac:dyDescent="0.25"/>
    <row r="381" s="60" customFormat="1" x14ac:dyDescent="0.25"/>
    <row r="382" s="60" customFormat="1" x14ac:dyDescent="0.25"/>
    <row r="383" s="60" customFormat="1" x14ac:dyDescent="0.25"/>
    <row r="384" s="60" customFormat="1" x14ac:dyDescent="0.25"/>
    <row r="385" s="60" customFormat="1" x14ac:dyDescent="0.25"/>
    <row r="386" s="60" customFormat="1" x14ac:dyDescent="0.25"/>
    <row r="387" s="60" customFormat="1" x14ac:dyDescent="0.25"/>
    <row r="388" s="60" customFormat="1" x14ac:dyDescent="0.25"/>
    <row r="389" s="60" customFormat="1" x14ac:dyDescent="0.25"/>
    <row r="390" s="60" customFormat="1" x14ac:dyDescent="0.25"/>
    <row r="391" s="60" customFormat="1" x14ac:dyDescent="0.25"/>
    <row r="392" s="60" customFormat="1" x14ac:dyDescent="0.25"/>
    <row r="393" s="60" customFormat="1" x14ac:dyDescent="0.25"/>
    <row r="394" s="60" customFormat="1" x14ac:dyDescent="0.25"/>
    <row r="395" s="60" customFormat="1" x14ac:dyDescent="0.25"/>
    <row r="396" s="60" customFormat="1" x14ac:dyDescent="0.25"/>
    <row r="397" s="60" customFormat="1" x14ac:dyDescent="0.25"/>
    <row r="398" s="60" customFormat="1" x14ac:dyDescent="0.25"/>
    <row r="399" s="60" customFormat="1" x14ac:dyDescent="0.25"/>
    <row r="400" s="60" customFormat="1" x14ac:dyDescent="0.25"/>
    <row r="401" s="60" customFormat="1" x14ac:dyDescent="0.25"/>
    <row r="402" s="60" customFormat="1" x14ac:dyDescent="0.25"/>
    <row r="403" s="60" customFormat="1" x14ac:dyDescent="0.25"/>
    <row r="404" s="60" customFormat="1" x14ac:dyDescent="0.25"/>
    <row r="405" s="60" customFormat="1" x14ac:dyDescent="0.25"/>
    <row r="406" s="60" customFormat="1" x14ac:dyDescent="0.25"/>
    <row r="407" s="60" customFormat="1" x14ac:dyDescent="0.25"/>
    <row r="408" s="60" customFormat="1" x14ac:dyDescent="0.25"/>
    <row r="409" s="60" customFormat="1" x14ac:dyDescent="0.25"/>
    <row r="410" s="60" customFormat="1" x14ac:dyDescent="0.25"/>
    <row r="411" s="60" customFormat="1" x14ac:dyDescent="0.25"/>
    <row r="412" s="60" customFormat="1" x14ac:dyDescent="0.25"/>
    <row r="413" s="60" customFormat="1" x14ac:dyDescent="0.25"/>
    <row r="414" s="60" customFormat="1" x14ac:dyDescent="0.25"/>
    <row r="415" s="60" customFormat="1" x14ac:dyDescent="0.25"/>
    <row r="416" s="60" customFormat="1" x14ac:dyDescent="0.25"/>
    <row r="417" s="60" customFormat="1" x14ac:dyDescent="0.25"/>
    <row r="418" s="60" customFormat="1" x14ac:dyDescent="0.25"/>
    <row r="419" s="60" customFormat="1" x14ac:dyDescent="0.25"/>
    <row r="420" s="60" customFormat="1" x14ac:dyDescent="0.25"/>
    <row r="421" s="60" customFormat="1" x14ac:dyDescent="0.25"/>
    <row r="422" s="60" customFormat="1" x14ac:dyDescent="0.25"/>
    <row r="423" s="60" customFormat="1" x14ac:dyDescent="0.25"/>
    <row r="424" s="60" customFormat="1" x14ac:dyDescent="0.25"/>
    <row r="425" s="60" customFormat="1" x14ac:dyDescent="0.25"/>
    <row r="426" s="60" customFormat="1" x14ac:dyDescent="0.25"/>
    <row r="427" s="60" customFormat="1" x14ac:dyDescent="0.25"/>
    <row r="428" s="60" customFormat="1" x14ac:dyDescent="0.25"/>
    <row r="429" s="60" customFormat="1" x14ac:dyDescent="0.25"/>
    <row r="430" s="60" customFormat="1" x14ac:dyDescent="0.25"/>
    <row r="431" s="60" customFormat="1" x14ac:dyDescent="0.25"/>
    <row r="432" s="60" customFormat="1" x14ac:dyDescent="0.25"/>
    <row r="433" s="60" customFormat="1" x14ac:dyDescent="0.25"/>
    <row r="434" s="60" customFormat="1" x14ac:dyDescent="0.25"/>
    <row r="435" s="60" customFormat="1" x14ac:dyDescent="0.25"/>
    <row r="436" s="60" customFormat="1" x14ac:dyDescent="0.25"/>
    <row r="437" s="60" customFormat="1" x14ac:dyDescent="0.25"/>
    <row r="438" s="60" customFormat="1" x14ac:dyDescent="0.25"/>
    <row r="439" s="60" customFormat="1" x14ac:dyDescent="0.25"/>
    <row r="440" s="60" customFormat="1" x14ac:dyDescent="0.25"/>
    <row r="441" s="60" customFormat="1" x14ac:dyDescent="0.25"/>
    <row r="442" s="60" customFormat="1" x14ac:dyDescent="0.25"/>
    <row r="443" s="60" customFormat="1" x14ac:dyDescent="0.25"/>
    <row r="444" s="60" customFormat="1" x14ac:dyDescent="0.25"/>
    <row r="445" s="60" customFormat="1" x14ac:dyDescent="0.25"/>
    <row r="446" s="60" customFormat="1" x14ac:dyDescent="0.25"/>
    <row r="447" s="60" customFormat="1" x14ac:dyDescent="0.25"/>
    <row r="448" s="60" customFormat="1" x14ac:dyDescent="0.25"/>
    <row r="449" s="60" customFormat="1" x14ac:dyDescent="0.25"/>
    <row r="450" s="60" customFormat="1" x14ac:dyDescent="0.25"/>
    <row r="451" s="60" customFormat="1" x14ac:dyDescent="0.25"/>
    <row r="452" s="60" customFormat="1" x14ac:dyDescent="0.25"/>
    <row r="453" s="60" customFormat="1" x14ac:dyDescent="0.25"/>
    <row r="454" s="60" customFormat="1" x14ac:dyDescent="0.25"/>
    <row r="455" s="60" customFormat="1" x14ac:dyDescent="0.25"/>
    <row r="456" s="60" customFormat="1" x14ac:dyDescent="0.25"/>
    <row r="457" s="60" customFormat="1" x14ac:dyDescent="0.25"/>
    <row r="458" s="60" customFormat="1" x14ac:dyDescent="0.25"/>
    <row r="459" s="60" customFormat="1" x14ac:dyDescent="0.25"/>
    <row r="460" s="60" customFormat="1" x14ac:dyDescent="0.25"/>
    <row r="461" s="60" customFormat="1" x14ac:dyDescent="0.25"/>
    <row r="462" s="60" customFormat="1" x14ac:dyDescent="0.25"/>
    <row r="463" s="60" customFormat="1" x14ac:dyDescent="0.25"/>
    <row r="464" s="60" customFormat="1" x14ac:dyDescent="0.25"/>
    <row r="465" s="60" customFormat="1" x14ac:dyDescent="0.25"/>
    <row r="466" s="60" customFormat="1" x14ac:dyDescent="0.25"/>
    <row r="467" s="60" customFormat="1" x14ac:dyDescent="0.25"/>
    <row r="468" s="60" customFormat="1" x14ac:dyDescent="0.25"/>
    <row r="469" s="60" customFormat="1" x14ac:dyDescent="0.25"/>
    <row r="470" s="60" customFormat="1" x14ac:dyDescent="0.25"/>
    <row r="471" s="60" customFormat="1" x14ac:dyDescent="0.25"/>
    <row r="472" s="60" customFormat="1" x14ac:dyDescent="0.25"/>
    <row r="473" s="60" customFormat="1" x14ac:dyDescent="0.25"/>
    <row r="474" s="60" customFormat="1" x14ac:dyDescent="0.25"/>
    <row r="475" s="60" customFormat="1" x14ac:dyDescent="0.25"/>
    <row r="476" s="60" customFormat="1" x14ac:dyDescent="0.25"/>
    <row r="477" s="60" customFormat="1" x14ac:dyDescent="0.25"/>
    <row r="478" s="60" customFormat="1" x14ac:dyDescent="0.25"/>
    <row r="479" s="60" customFormat="1" x14ac:dyDescent="0.25"/>
    <row r="480" s="60" customFormat="1" x14ac:dyDescent="0.25"/>
    <row r="481" s="60" customFormat="1" x14ac:dyDescent="0.25"/>
    <row r="482" s="60" customFormat="1" x14ac:dyDescent="0.25"/>
    <row r="483" s="60" customFormat="1" x14ac:dyDescent="0.25"/>
    <row r="484" s="60" customFormat="1" x14ac:dyDescent="0.25"/>
    <row r="485" s="60" customFormat="1" x14ac:dyDescent="0.25"/>
    <row r="486" s="60" customFormat="1" x14ac:dyDescent="0.25"/>
    <row r="487" s="60" customFormat="1" x14ac:dyDescent="0.25"/>
    <row r="488" s="60" customFormat="1" x14ac:dyDescent="0.25"/>
    <row r="489" s="60" customFormat="1" x14ac:dyDescent="0.25"/>
    <row r="490" s="60" customFormat="1" x14ac:dyDescent="0.25"/>
    <row r="491" s="60" customFormat="1" x14ac:dyDescent="0.25"/>
    <row r="492" s="60" customFormat="1" x14ac:dyDescent="0.25"/>
    <row r="493" s="60" customFormat="1" x14ac:dyDescent="0.25"/>
    <row r="494" s="60" customFormat="1" x14ac:dyDescent="0.25"/>
    <row r="495" s="60" customFormat="1" x14ac:dyDescent="0.25"/>
    <row r="496" s="60" customFormat="1" x14ac:dyDescent="0.25"/>
    <row r="497" s="60" customFormat="1" x14ac:dyDescent="0.25"/>
  </sheetData>
  <mergeCells count="8">
    <mergeCell ref="B2:N2"/>
    <mergeCell ref="F4:I5"/>
    <mergeCell ref="K4:N5"/>
    <mergeCell ref="F24:G25"/>
    <mergeCell ref="H24:I25"/>
    <mergeCell ref="K23:L25"/>
    <mergeCell ref="M23:M25"/>
    <mergeCell ref="N23:N25"/>
  </mergeCells>
  <pageMargins left="0.7" right="0.7" top="0.75" bottom="0.75" header="0.3" footer="0.3"/>
  <pageSetup paperSize="9" orientation="portrait" r:id="rId1"/>
  <ignoredErrors>
    <ignoredError sqref="K7:K18 K19:K22" numberStoredAsText="1"/>
    <ignoredError sqref="M17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B1:Y488"/>
  <sheetViews>
    <sheetView topLeftCell="A28" zoomScale="70" zoomScaleNormal="70" workbookViewId="0">
      <selection activeCell="B7" sqref="B7:B23"/>
    </sheetView>
  </sheetViews>
  <sheetFormatPr baseColWidth="10" defaultColWidth="11.5703125" defaultRowHeight="15.75" x14ac:dyDescent="0.25"/>
  <cols>
    <col min="1" max="1" width="5.7109375" style="54" customWidth="1"/>
    <col min="2" max="2" width="10.7109375" style="54" customWidth="1"/>
    <col min="3" max="3" width="20.7109375" style="54" customWidth="1"/>
    <col min="4" max="4" width="25.7109375" style="54" customWidth="1"/>
    <col min="5" max="5" width="40.7109375" style="54" customWidth="1"/>
    <col min="6" max="6" width="18.7109375" style="54" customWidth="1"/>
    <col min="7" max="8" width="6.7109375" style="62" customWidth="1"/>
    <col min="9" max="25" width="11.5703125" style="60"/>
    <col min="26" max="16384" width="11.5703125" style="54"/>
  </cols>
  <sheetData>
    <row r="1" spans="2:25" s="62" customFormat="1" ht="15" customHeight="1" x14ac:dyDescent="0.25"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</row>
    <row r="2" spans="2:25" s="62" customFormat="1" ht="49.9" customHeight="1" x14ac:dyDescent="0.25">
      <c r="B2" s="529" t="s">
        <v>62</v>
      </c>
      <c r="C2" s="529"/>
      <c r="D2" s="529"/>
      <c r="E2" s="529"/>
      <c r="F2" s="529"/>
      <c r="G2" s="90"/>
      <c r="H2" s="90"/>
      <c r="I2" s="91"/>
      <c r="J2" s="91"/>
      <c r="K2" s="91"/>
      <c r="L2" s="66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</row>
    <row r="3" spans="2:25" ht="15" customHeight="1" thickBot="1" x14ac:dyDescent="0.3"/>
    <row r="4" spans="2:25" ht="25.15" customHeight="1" x14ac:dyDescent="0.25">
      <c r="B4" s="573" t="s">
        <v>57</v>
      </c>
      <c r="C4" s="574"/>
      <c r="D4" s="574"/>
      <c r="E4" s="574"/>
      <c r="F4" s="575"/>
      <c r="G4" s="15"/>
      <c r="H4" s="15"/>
    </row>
    <row r="5" spans="2:25" ht="25.15" customHeight="1" thickBot="1" x14ac:dyDescent="0.3">
      <c r="B5" s="606"/>
      <c r="C5" s="607"/>
      <c r="D5" s="607"/>
      <c r="E5" s="607"/>
      <c r="F5" s="608"/>
      <c r="G5" s="15"/>
      <c r="H5" s="15"/>
    </row>
    <row r="6" spans="2:25" ht="40.15" customHeight="1" thickBot="1" x14ac:dyDescent="0.3">
      <c r="B6" s="81" t="s">
        <v>29</v>
      </c>
      <c r="C6" s="605" t="s">
        <v>58</v>
      </c>
      <c r="D6" s="605"/>
      <c r="E6" s="82" t="s">
        <v>59</v>
      </c>
      <c r="F6" s="83" t="s">
        <v>36</v>
      </c>
      <c r="G6" s="61"/>
      <c r="H6" s="61"/>
    </row>
    <row r="7" spans="2:25" ht="49.9" customHeight="1" x14ac:dyDescent="0.25">
      <c r="B7" s="135" t="s">
        <v>37</v>
      </c>
      <c r="C7" s="87"/>
      <c r="D7" s="57"/>
      <c r="E7" s="88" t="s">
        <v>150</v>
      </c>
      <c r="F7" s="89">
        <f>Sectorización!C9*0.5</f>
        <v>0.21583333333333332</v>
      </c>
      <c r="G7" s="52"/>
      <c r="H7" s="52"/>
    </row>
    <row r="8" spans="2:25" ht="49.9" customHeight="1" x14ac:dyDescent="0.25">
      <c r="B8" s="136" t="s">
        <v>38</v>
      </c>
      <c r="C8" s="70"/>
      <c r="D8" s="71"/>
      <c r="E8" s="74"/>
      <c r="F8" s="73">
        <f>F7-Sectorización!N8</f>
        <v>0.19914908142839038</v>
      </c>
      <c r="G8" s="52"/>
      <c r="H8" s="52"/>
    </row>
    <row r="9" spans="2:25" ht="49.9" customHeight="1" x14ac:dyDescent="0.25">
      <c r="B9" s="136" t="s">
        <v>39</v>
      </c>
      <c r="C9" s="75"/>
      <c r="D9" s="76"/>
      <c r="E9" s="85"/>
      <c r="F9" s="77">
        <f>F8-Sectorización!N9</f>
        <v>0.18430822454995954</v>
      </c>
      <c r="G9" s="52"/>
      <c r="H9" s="52"/>
    </row>
    <row r="10" spans="2:25" ht="49.9" customHeight="1" x14ac:dyDescent="0.25">
      <c r="B10" s="136" t="s">
        <v>64</v>
      </c>
      <c r="C10" s="78"/>
      <c r="D10" s="79"/>
      <c r="E10" s="86"/>
      <c r="F10" s="80">
        <f>F9-Sectorización!N10</f>
        <v>0.16514424546627554</v>
      </c>
      <c r="G10" s="52"/>
      <c r="H10" s="52"/>
    </row>
    <row r="11" spans="2:25" ht="49.9" customHeight="1" x14ac:dyDescent="0.25">
      <c r="B11" s="136" t="s">
        <v>65</v>
      </c>
      <c r="C11" s="67"/>
      <c r="D11" s="68"/>
      <c r="E11" s="84"/>
      <c r="F11" s="69">
        <f>F10-Sectorización!N11</f>
        <v>0.14888825236015607</v>
      </c>
      <c r="G11" s="52"/>
      <c r="H11" s="52"/>
    </row>
    <row r="12" spans="2:25" ht="49.9" customHeight="1" x14ac:dyDescent="0.25">
      <c r="B12" s="136" t="s">
        <v>61</v>
      </c>
      <c r="C12" s="70"/>
      <c r="D12" s="92"/>
      <c r="E12" s="71"/>
      <c r="F12" s="73">
        <f>F11-Sectorización!N12</f>
        <v>0.13587740527018954</v>
      </c>
      <c r="G12" s="52"/>
      <c r="H12" s="52"/>
    </row>
    <row r="13" spans="2:25" ht="49.9" customHeight="1" x14ac:dyDescent="0.25">
      <c r="B13" s="136" t="s">
        <v>143</v>
      </c>
      <c r="C13" s="67"/>
      <c r="D13" s="68"/>
      <c r="E13" s="84"/>
      <c r="F13" s="69">
        <f>F12-Sectorización!N13</f>
        <v>0.13019139743872724</v>
      </c>
      <c r="G13" s="52"/>
      <c r="H13" s="52"/>
    </row>
    <row r="14" spans="2:25" s="131" customFormat="1" ht="49.9" customHeight="1" x14ac:dyDescent="0.25">
      <c r="B14" s="136" t="s">
        <v>141</v>
      </c>
      <c r="C14" s="70"/>
      <c r="D14" s="71"/>
      <c r="E14" s="74" t="s">
        <v>150</v>
      </c>
      <c r="F14" s="73">
        <f>Sectorización!C9*0.5</f>
        <v>0.21583333333333332</v>
      </c>
      <c r="G14" s="129"/>
      <c r="H14" s="129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</row>
    <row r="15" spans="2:25" s="131" customFormat="1" ht="49.9" customHeight="1" x14ac:dyDescent="0.25">
      <c r="B15" s="136" t="s">
        <v>85</v>
      </c>
      <c r="C15" s="67"/>
      <c r="D15" s="68"/>
      <c r="E15" s="84"/>
      <c r="F15" s="69">
        <f>F14-Sectorización!N14</f>
        <v>0.21281432558054753</v>
      </c>
      <c r="G15" s="129"/>
      <c r="H15" s="129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</row>
    <row r="16" spans="2:25" s="131" customFormat="1" ht="49.9" customHeight="1" x14ac:dyDescent="0.25">
      <c r="B16" s="136" t="s">
        <v>86</v>
      </c>
      <c r="C16" s="70"/>
      <c r="D16" s="71"/>
      <c r="E16" s="74"/>
      <c r="F16" s="73">
        <f>F15-Sectorización!N15</f>
        <v>0.19636127011376101</v>
      </c>
      <c r="G16" s="129"/>
      <c r="H16" s="129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</row>
    <row r="17" spans="2:25" s="131" customFormat="1" ht="49.9" customHeight="1" x14ac:dyDescent="0.25">
      <c r="B17" s="136" t="s">
        <v>142</v>
      </c>
      <c r="C17" s="67"/>
      <c r="D17" s="68"/>
      <c r="E17" s="84"/>
      <c r="F17" s="69">
        <f>F16-Sectorización!N16</f>
        <v>0.19559141246990142</v>
      </c>
      <c r="G17" s="129"/>
      <c r="H17" s="129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</row>
    <row r="18" spans="2:25" s="131" customFormat="1" ht="49.9" customHeight="1" x14ac:dyDescent="0.25">
      <c r="B18" s="136" t="s">
        <v>144</v>
      </c>
      <c r="C18" s="70"/>
      <c r="D18" s="71"/>
      <c r="E18" s="74"/>
      <c r="F18" s="73">
        <f>(F13+F17)-Sectorización!N17</f>
        <v>0.31364743996943062</v>
      </c>
      <c r="G18" s="129"/>
      <c r="H18" s="129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</row>
    <row r="19" spans="2:25" s="131" customFormat="1" ht="49.9" customHeight="1" x14ac:dyDescent="0.25">
      <c r="B19" s="136" t="s">
        <v>40</v>
      </c>
      <c r="C19" s="67"/>
      <c r="D19" s="68"/>
      <c r="E19" s="84"/>
      <c r="F19" s="69">
        <f>F18-Sectorización!N18</f>
        <v>0.30958252554389554</v>
      </c>
      <c r="G19" s="129"/>
      <c r="H19" s="129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</row>
    <row r="20" spans="2:25" ht="49.9" customHeight="1" x14ac:dyDescent="0.25">
      <c r="B20" s="136" t="s">
        <v>145</v>
      </c>
      <c r="C20" s="78"/>
      <c r="D20" s="79"/>
      <c r="E20" s="74"/>
      <c r="F20" s="80">
        <f>F19-Sectorización!N19</f>
        <v>0.16706397764088252</v>
      </c>
      <c r="G20" s="52"/>
      <c r="H20" s="52"/>
    </row>
    <row r="21" spans="2:25" ht="49.9" customHeight="1" x14ac:dyDescent="0.25">
      <c r="B21" s="136" t="s">
        <v>146</v>
      </c>
      <c r="C21" s="67"/>
      <c r="D21" s="68"/>
      <c r="E21" s="84" t="s">
        <v>151</v>
      </c>
      <c r="F21" s="69">
        <f>(F20-Sectorización!N20)*0.6</f>
        <v>9.9577850893887168E-2</v>
      </c>
      <c r="G21" s="52"/>
      <c r="H21" s="52"/>
    </row>
    <row r="22" spans="2:25" ht="49.9" customHeight="1" x14ac:dyDescent="0.25">
      <c r="B22" s="136" t="s">
        <v>147</v>
      </c>
      <c r="C22" s="70"/>
      <c r="D22" s="71"/>
      <c r="E22" s="72"/>
      <c r="F22" s="73">
        <f>F21-Sectorización!N21</f>
        <v>6.2955891209266021E-2</v>
      </c>
      <c r="G22" s="52"/>
      <c r="H22" s="52"/>
    </row>
    <row r="23" spans="2:25" ht="49.9" customHeight="1" thickBot="1" x14ac:dyDescent="0.3">
      <c r="B23" s="277" t="s">
        <v>148</v>
      </c>
      <c r="C23" s="278"/>
      <c r="D23" s="279"/>
      <c r="E23" s="281" t="s">
        <v>151</v>
      </c>
      <c r="F23" s="280">
        <f>(F20-Sectorización!N20)*0.4</f>
        <v>6.6385233929258117E-2</v>
      </c>
      <c r="G23" s="52"/>
      <c r="H23" s="52"/>
    </row>
    <row r="24" spans="2:25" ht="34.9" customHeight="1" x14ac:dyDescent="0.25"/>
    <row r="25" spans="2:25" ht="34.9" customHeight="1" x14ac:dyDescent="0.25"/>
    <row r="26" spans="2:25" s="60" customFormat="1" x14ac:dyDescent="0.25"/>
    <row r="27" spans="2:25" s="60" customFormat="1" x14ac:dyDescent="0.25"/>
    <row r="28" spans="2:25" s="60" customFormat="1" x14ac:dyDescent="0.25"/>
    <row r="29" spans="2:25" s="60" customFormat="1" x14ac:dyDescent="0.25"/>
    <row r="30" spans="2:25" s="60" customFormat="1" x14ac:dyDescent="0.25"/>
    <row r="31" spans="2:25" s="60" customFormat="1" x14ac:dyDescent="0.25"/>
    <row r="32" spans="2:25" s="60" customFormat="1" x14ac:dyDescent="0.25"/>
    <row r="33" s="60" customFormat="1" x14ac:dyDescent="0.25"/>
    <row r="34" s="60" customFormat="1" x14ac:dyDescent="0.25"/>
    <row r="35" s="60" customFormat="1" x14ac:dyDescent="0.25"/>
    <row r="36" s="60" customFormat="1" x14ac:dyDescent="0.25"/>
    <row r="37" s="60" customFormat="1" x14ac:dyDescent="0.25"/>
    <row r="38" s="60" customFormat="1" x14ac:dyDescent="0.25"/>
    <row r="39" s="60" customFormat="1" x14ac:dyDescent="0.25"/>
    <row r="40" s="60" customFormat="1" x14ac:dyDescent="0.25"/>
    <row r="41" s="60" customFormat="1" x14ac:dyDescent="0.25"/>
    <row r="42" s="60" customFormat="1" x14ac:dyDescent="0.25"/>
    <row r="43" s="60" customFormat="1" x14ac:dyDescent="0.25"/>
    <row r="44" s="60" customFormat="1" x14ac:dyDescent="0.25"/>
    <row r="45" s="60" customFormat="1" x14ac:dyDescent="0.25"/>
    <row r="46" s="60" customFormat="1" x14ac:dyDescent="0.25"/>
    <row r="47" s="60" customFormat="1" x14ac:dyDescent="0.25"/>
    <row r="48" s="60" customFormat="1" x14ac:dyDescent="0.25"/>
    <row r="49" s="60" customFormat="1" x14ac:dyDescent="0.25"/>
    <row r="50" s="60" customFormat="1" x14ac:dyDescent="0.25"/>
    <row r="51" s="60" customFormat="1" x14ac:dyDescent="0.25"/>
    <row r="52" s="60" customFormat="1" x14ac:dyDescent="0.25"/>
    <row r="53" s="60" customFormat="1" x14ac:dyDescent="0.25"/>
    <row r="54" s="60" customFormat="1" x14ac:dyDescent="0.25"/>
    <row r="55" s="60" customFormat="1" x14ac:dyDescent="0.25"/>
    <row r="56" s="60" customFormat="1" x14ac:dyDescent="0.25"/>
    <row r="57" s="60" customFormat="1" x14ac:dyDescent="0.25"/>
    <row r="58" s="60" customFormat="1" x14ac:dyDescent="0.25"/>
    <row r="59" s="60" customFormat="1" x14ac:dyDescent="0.25"/>
    <row r="60" s="60" customFormat="1" x14ac:dyDescent="0.25"/>
    <row r="61" s="60" customFormat="1" x14ac:dyDescent="0.25"/>
    <row r="62" s="60" customFormat="1" x14ac:dyDescent="0.25"/>
    <row r="63" s="60" customFormat="1" x14ac:dyDescent="0.25"/>
    <row r="64" s="60" customFormat="1" x14ac:dyDescent="0.25"/>
    <row r="65" s="60" customFormat="1" x14ac:dyDescent="0.25"/>
    <row r="66" s="60" customFormat="1" x14ac:dyDescent="0.25"/>
    <row r="67" s="60" customFormat="1" x14ac:dyDescent="0.25"/>
    <row r="68" s="60" customFormat="1" x14ac:dyDescent="0.25"/>
    <row r="69" s="60" customFormat="1" x14ac:dyDescent="0.25"/>
    <row r="70" s="60" customFormat="1" x14ac:dyDescent="0.25"/>
    <row r="71" s="60" customFormat="1" x14ac:dyDescent="0.25"/>
    <row r="72" s="60" customFormat="1" x14ac:dyDescent="0.25"/>
    <row r="73" s="60" customFormat="1" x14ac:dyDescent="0.25"/>
    <row r="74" s="60" customFormat="1" x14ac:dyDescent="0.25"/>
    <row r="75" s="60" customFormat="1" x14ac:dyDescent="0.25"/>
    <row r="76" s="60" customFormat="1" x14ac:dyDescent="0.25"/>
    <row r="77" s="60" customFormat="1" x14ac:dyDescent="0.25"/>
    <row r="78" s="60" customFormat="1" x14ac:dyDescent="0.25"/>
    <row r="79" s="60" customFormat="1" x14ac:dyDescent="0.25"/>
    <row r="80" s="60" customFormat="1" x14ac:dyDescent="0.25"/>
    <row r="81" s="60" customFormat="1" x14ac:dyDescent="0.25"/>
    <row r="82" s="60" customFormat="1" x14ac:dyDescent="0.25"/>
    <row r="83" s="60" customFormat="1" x14ac:dyDescent="0.25"/>
    <row r="84" s="60" customFormat="1" x14ac:dyDescent="0.25"/>
    <row r="85" s="60" customFormat="1" x14ac:dyDescent="0.25"/>
    <row r="86" s="60" customFormat="1" x14ac:dyDescent="0.25"/>
    <row r="87" s="60" customFormat="1" x14ac:dyDescent="0.25"/>
    <row r="88" s="60" customFormat="1" x14ac:dyDescent="0.25"/>
    <row r="89" s="60" customFormat="1" x14ac:dyDescent="0.25"/>
    <row r="90" s="60" customFormat="1" x14ac:dyDescent="0.25"/>
    <row r="91" s="60" customFormat="1" x14ac:dyDescent="0.25"/>
    <row r="92" s="60" customFormat="1" x14ac:dyDescent="0.25"/>
    <row r="93" s="60" customFormat="1" x14ac:dyDescent="0.25"/>
    <row r="94" s="60" customFormat="1" x14ac:dyDescent="0.25"/>
    <row r="95" s="60" customFormat="1" x14ac:dyDescent="0.25"/>
    <row r="96" s="60" customFormat="1" x14ac:dyDescent="0.25"/>
    <row r="97" s="60" customFormat="1" x14ac:dyDescent="0.25"/>
    <row r="98" s="60" customFormat="1" x14ac:dyDescent="0.25"/>
    <row r="99" s="60" customFormat="1" x14ac:dyDescent="0.25"/>
    <row r="100" s="60" customFormat="1" x14ac:dyDescent="0.25"/>
    <row r="101" s="60" customFormat="1" x14ac:dyDescent="0.25"/>
    <row r="102" s="60" customFormat="1" x14ac:dyDescent="0.25"/>
    <row r="103" s="60" customFormat="1" x14ac:dyDescent="0.25"/>
    <row r="104" s="60" customFormat="1" x14ac:dyDescent="0.25"/>
    <row r="105" s="60" customFormat="1" x14ac:dyDescent="0.25"/>
    <row r="106" s="60" customFormat="1" x14ac:dyDescent="0.25"/>
    <row r="107" s="60" customFormat="1" x14ac:dyDescent="0.25"/>
    <row r="108" s="60" customFormat="1" x14ac:dyDescent="0.25"/>
    <row r="109" s="60" customFormat="1" x14ac:dyDescent="0.25"/>
    <row r="110" s="60" customFormat="1" x14ac:dyDescent="0.25"/>
    <row r="111" s="60" customFormat="1" x14ac:dyDescent="0.25"/>
    <row r="112" s="60" customFormat="1" x14ac:dyDescent="0.25"/>
    <row r="113" s="60" customFormat="1" x14ac:dyDescent="0.25"/>
    <row r="114" s="60" customFormat="1" x14ac:dyDescent="0.25"/>
    <row r="115" s="60" customFormat="1" x14ac:dyDescent="0.25"/>
    <row r="116" s="60" customFormat="1" x14ac:dyDescent="0.25"/>
    <row r="117" s="60" customFormat="1" x14ac:dyDescent="0.25"/>
    <row r="118" s="60" customFormat="1" x14ac:dyDescent="0.25"/>
    <row r="119" s="60" customFormat="1" x14ac:dyDescent="0.25"/>
    <row r="120" s="60" customFormat="1" x14ac:dyDescent="0.25"/>
    <row r="121" s="60" customFormat="1" x14ac:dyDescent="0.25"/>
    <row r="122" s="60" customFormat="1" x14ac:dyDescent="0.25"/>
    <row r="123" s="60" customFormat="1" x14ac:dyDescent="0.25"/>
    <row r="124" s="60" customFormat="1" x14ac:dyDescent="0.25"/>
    <row r="125" s="60" customFormat="1" x14ac:dyDescent="0.25"/>
    <row r="126" s="60" customFormat="1" x14ac:dyDescent="0.25"/>
    <row r="127" s="60" customFormat="1" x14ac:dyDescent="0.25"/>
    <row r="128" s="60" customFormat="1" x14ac:dyDescent="0.25"/>
    <row r="129" s="60" customFormat="1" x14ac:dyDescent="0.25"/>
    <row r="130" s="60" customFormat="1" x14ac:dyDescent="0.25"/>
    <row r="131" s="60" customFormat="1" x14ac:dyDescent="0.25"/>
    <row r="132" s="60" customFormat="1" x14ac:dyDescent="0.25"/>
    <row r="133" s="60" customFormat="1" x14ac:dyDescent="0.25"/>
    <row r="134" s="60" customFormat="1" x14ac:dyDescent="0.25"/>
    <row r="135" s="60" customFormat="1" x14ac:dyDescent="0.25"/>
    <row r="136" s="60" customFormat="1" x14ac:dyDescent="0.25"/>
    <row r="137" s="60" customFormat="1" x14ac:dyDescent="0.25"/>
    <row r="138" s="60" customFormat="1" x14ac:dyDescent="0.25"/>
    <row r="139" s="60" customFormat="1" x14ac:dyDescent="0.25"/>
    <row r="140" s="60" customFormat="1" x14ac:dyDescent="0.25"/>
    <row r="141" s="60" customFormat="1" x14ac:dyDescent="0.25"/>
    <row r="142" s="60" customFormat="1" x14ac:dyDescent="0.25"/>
    <row r="143" s="60" customFormat="1" x14ac:dyDescent="0.25"/>
    <row r="144" s="60" customFormat="1" x14ac:dyDescent="0.25"/>
    <row r="145" s="60" customFormat="1" x14ac:dyDescent="0.25"/>
    <row r="146" s="60" customFormat="1" x14ac:dyDescent="0.25"/>
    <row r="147" s="60" customFormat="1" x14ac:dyDescent="0.25"/>
    <row r="148" s="60" customFormat="1" x14ac:dyDescent="0.25"/>
    <row r="149" s="60" customFormat="1" x14ac:dyDescent="0.25"/>
    <row r="150" s="60" customFormat="1" x14ac:dyDescent="0.25"/>
    <row r="151" s="60" customFormat="1" x14ac:dyDescent="0.25"/>
    <row r="152" s="60" customFormat="1" x14ac:dyDescent="0.25"/>
    <row r="153" s="60" customFormat="1" x14ac:dyDescent="0.25"/>
    <row r="154" s="60" customFormat="1" x14ac:dyDescent="0.25"/>
    <row r="155" s="60" customFormat="1" x14ac:dyDescent="0.25"/>
    <row r="156" s="60" customFormat="1" x14ac:dyDescent="0.25"/>
    <row r="157" s="60" customFormat="1" x14ac:dyDescent="0.25"/>
    <row r="158" s="60" customFormat="1" x14ac:dyDescent="0.25"/>
    <row r="159" s="60" customFormat="1" x14ac:dyDescent="0.25"/>
    <row r="160" s="60" customFormat="1" x14ac:dyDescent="0.25"/>
    <row r="161" s="60" customFormat="1" x14ac:dyDescent="0.25"/>
    <row r="162" s="60" customFormat="1" x14ac:dyDescent="0.25"/>
    <row r="163" s="60" customFormat="1" x14ac:dyDescent="0.25"/>
    <row r="164" s="60" customFormat="1" x14ac:dyDescent="0.25"/>
    <row r="165" s="60" customFormat="1" x14ac:dyDescent="0.25"/>
    <row r="166" s="60" customFormat="1" x14ac:dyDescent="0.25"/>
    <row r="167" s="60" customFormat="1" x14ac:dyDescent="0.25"/>
    <row r="168" s="60" customFormat="1" x14ac:dyDescent="0.25"/>
    <row r="169" s="60" customFormat="1" x14ac:dyDescent="0.25"/>
    <row r="170" s="60" customFormat="1" x14ac:dyDescent="0.25"/>
    <row r="171" s="60" customFormat="1" x14ac:dyDescent="0.25"/>
    <row r="172" s="60" customFormat="1" x14ac:dyDescent="0.25"/>
    <row r="173" s="60" customFormat="1" x14ac:dyDescent="0.25"/>
    <row r="174" s="60" customFormat="1" x14ac:dyDescent="0.25"/>
    <row r="175" s="60" customFormat="1" x14ac:dyDescent="0.25"/>
    <row r="176" s="60" customFormat="1" x14ac:dyDescent="0.25"/>
    <row r="177" s="60" customFormat="1" x14ac:dyDescent="0.25"/>
    <row r="178" s="60" customFormat="1" x14ac:dyDescent="0.25"/>
    <row r="179" s="60" customFormat="1" x14ac:dyDescent="0.25"/>
    <row r="180" s="60" customFormat="1" x14ac:dyDescent="0.25"/>
    <row r="181" s="60" customFormat="1" x14ac:dyDescent="0.25"/>
    <row r="182" s="60" customFormat="1" x14ac:dyDescent="0.25"/>
    <row r="183" s="60" customFormat="1" x14ac:dyDescent="0.25"/>
    <row r="184" s="60" customFormat="1" x14ac:dyDescent="0.25"/>
    <row r="185" s="60" customFormat="1" x14ac:dyDescent="0.25"/>
    <row r="186" s="60" customFormat="1" x14ac:dyDescent="0.25"/>
    <row r="187" s="60" customFormat="1" x14ac:dyDescent="0.25"/>
    <row r="188" s="60" customFormat="1" x14ac:dyDescent="0.25"/>
    <row r="189" s="60" customFormat="1" x14ac:dyDescent="0.25"/>
    <row r="190" s="60" customFormat="1" x14ac:dyDescent="0.25"/>
    <row r="191" s="60" customFormat="1" x14ac:dyDescent="0.25"/>
    <row r="192" s="60" customFormat="1" x14ac:dyDescent="0.25"/>
    <row r="193" s="60" customFormat="1" x14ac:dyDescent="0.25"/>
    <row r="194" s="60" customFormat="1" x14ac:dyDescent="0.25"/>
    <row r="195" s="60" customFormat="1" x14ac:dyDescent="0.25"/>
    <row r="196" s="60" customFormat="1" x14ac:dyDescent="0.25"/>
    <row r="197" s="60" customFormat="1" x14ac:dyDescent="0.25"/>
    <row r="198" s="60" customFormat="1" x14ac:dyDescent="0.25"/>
    <row r="199" s="60" customFormat="1" x14ac:dyDescent="0.25"/>
    <row r="200" s="60" customFormat="1" x14ac:dyDescent="0.25"/>
    <row r="201" s="60" customFormat="1" x14ac:dyDescent="0.25"/>
    <row r="202" s="60" customFormat="1" x14ac:dyDescent="0.25"/>
    <row r="203" s="60" customFormat="1" x14ac:dyDescent="0.25"/>
    <row r="204" s="60" customFormat="1" x14ac:dyDescent="0.25"/>
    <row r="205" s="60" customFormat="1" x14ac:dyDescent="0.25"/>
    <row r="206" s="60" customFormat="1" x14ac:dyDescent="0.25"/>
    <row r="207" s="60" customFormat="1" x14ac:dyDescent="0.25"/>
    <row r="208" s="60" customFormat="1" x14ac:dyDescent="0.25"/>
    <row r="209" s="60" customFormat="1" x14ac:dyDescent="0.25"/>
    <row r="210" s="60" customFormat="1" x14ac:dyDescent="0.25"/>
    <row r="211" s="60" customFormat="1" x14ac:dyDescent="0.25"/>
    <row r="212" s="60" customFormat="1" x14ac:dyDescent="0.25"/>
    <row r="213" s="60" customFormat="1" x14ac:dyDescent="0.25"/>
    <row r="214" s="60" customFormat="1" x14ac:dyDescent="0.25"/>
    <row r="215" s="60" customFormat="1" x14ac:dyDescent="0.25"/>
    <row r="216" s="60" customFormat="1" x14ac:dyDescent="0.25"/>
    <row r="217" s="60" customFormat="1" x14ac:dyDescent="0.25"/>
    <row r="218" s="60" customFormat="1" x14ac:dyDescent="0.25"/>
    <row r="219" s="60" customFormat="1" x14ac:dyDescent="0.25"/>
    <row r="220" s="60" customFormat="1" x14ac:dyDescent="0.25"/>
    <row r="221" s="60" customFormat="1" x14ac:dyDescent="0.25"/>
    <row r="222" s="60" customFormat="1" x14ac:dyDescent="0.25"/>
    <row r="223" s="60" customFormat="1" x14ac:dyDescent="0.25"/>
    <row r="224" s="60" customFormat="1" x14ac:dyDescent="0.25"/>
    <row r="225" s="60" customFormat="1" x14ac:dyDescent="0.25"/>
    <row r="226" s="60" customFormat="1" x14ac:dyDescent="0.25"/>
    <row r="227" s="60" customFormat="1" x14ac:dyDescent="0.25"/>
    <row r="228" s="60" customFormat="1" x14ac:dyDescent="0.25"/>
    <row r="229" s="60" customFormat="1" x14ac:dyDescent="0.25"/>
    <row r="230" s="60" customFormat="1" x14ac:dyDescent="0.25"/>
    <row r="231" s="60" customFormat="1" x14ac:dyDescent="0.25"/>
    <row r="232" s="60" customFormat="1" x14ac:dyDescent="0.25"/>
    <row r="233" s="60" customFormat="1" x14ac:dyDescent="0.25"/>
    <row r="234" s="60" customFormat="1" x14ac:dyDescent="0.25"/>
    <row r="235" s="60" customFormat="1" x14ac:dyDescent="0.25"/>
    <row r="236" s="60" customFormat="1" x14ac:dyDescent="0.25"/>
    <row r="237" s="60" customFormat="1" x14ac:dyDescent="0.25"/>
    <row r="238" s="60" customFormat="1" x14ac:dyDescent="0.25"/>
    <row r="239" s="60" customFormat="1" x14ac:dyDescent="0.25"/>
    <row r="240" s="60" customFormat="1" x14ac:dyDescent="0.25"/>
    <row r="241" s="60" customFormat="1" x14ac:dyDescent="0.25"/>
    <row r="242" s="60" customFormat="1" x14ac:dyDescent="0.25"/>
    <row r="243" s="60" customFormat="1" x14ac:dyDescent="0.25"/>
    <row r="244" s="60" customFormat="1" x14ac:dyDescent="0.25"/>
    <row r="245" s="60" customFormat="1" x14ac:dyDescent="0.25"/>
    <row r="246" s="60" customFormat="1" x14ac:dyDescent="0.25"/>
    <row r="247" s="60" customFormat="1" x14ac:dyDescent="0.25"/>
    <row r="248" s="60" customFormat="1" x14ac:dyDescent="0.25"/>
    <row r="249" s="60" customFormat="1" x14ac:dyDescent="0.25"/>
    <row r="250" s="60" customFormat="1" x14ac:dyDescent="0.25"/>
    <row r="251" s="60" customFormat="1" x14ac:dyDescent="0.25"/>
    <row r="252" s="60" customFormat="1" x14ac:dyDescent="0.25"/>
    <row r="253" s="60" customFormat="1" x14ac:dyDescent="0.25"/>
    <row r="254" s="60" customFormat="1" x14ac:dyDescent="0.25"/>
    <row r="255" s="60" customFormat="1" x14ac:dyDescent="0.25"/>
    <row r="256" s="60" customFormat="1" x14ac:dyDescent="0.25"/>
    <row r="257" s="60" customFormat="1" x14ac:dyDescent="0.25"/>
    <row r="258" s="60" customFormat="1" x14ac:dyDescent="0.25"/>
    <row r="259" s="60" customFormat="1" x14ac:dyDescent="0.25"/>
    <row r="260" s="60" customFormat="1" x14ac:dyDescent="0.25"/>
    <row r="261" s="60" customFormat="1" x14ac:dyDescent="0.25"/>
    <row r="262" s="60" customFormat="1" x14ac:dyDescent="0.25"/>
    <row r="263" s="60" customFormat="1" x14ac:dyDescent="0.25"/>
    <row r="264" s="60" customFormat="1" x14ac:dyDescent="0.25"/>
    <row r="265" s="60" customFormat="1" x14ac:dyDescent="0.25"/>
    <row r="266" s="60" customFormat="1" x14ac:dyDescent="0.25"/>
    <row r="267" s="60" customFormat="1" x14ac:dyDescent="0.25"/>
    <row r="268" s="60" customFormat="1" x14ac:dyDescent="0.25"/>
    <row r="269" s="60" customFormat="1" x14ac:dyDescent="0.25"/>
    <row r="270" s="60" customFormat="1" x14ac:dyDescent="0.25"/>
    <row r="271" s="60" customFormat="1" x14ac:dyDescent="0.25"/>
    <row r="272" s="60" customFormat="1" x14ac:dyDescent="0.25"/>
    <row r="273" s="60" customFormat="1" x14ac:dyDescent="0.25"/>
    <row r="274" s="60" customFormat="1" x14ac:dyDescent="0.25"/>
    <row r="275" s="60" customFormat="1" x14ac:dyDescent="0.25"/>
    <row r="276" s="60" customFormat="1" x14ac:dyDescent="0.25"/>
    <row r="277" s="60" customFormat="1" x14ac:dyDescent="0.25"/>
    <row r="278" s="60" customFormat="1" x14ac:dyDescent="0.25"/>
    <row r="279" s="60" customFormat="1" x14ac:dyDescent="0.25"/>
    <row r="280" s="60" customFormat="1" x14ac:dyDescent="0.25"/>
    <row r="281" s="60" customFormat="1" x14ac:dyDescent="0.25"/>
    <row r="282" s="60" customFormat="1" x14ac:dyDescent="0.25"/>
    <row r="283" s="60" customFormat="1" x14ac:dyDescent="0.25"/>
    <row r="284" s="60" customFormat="1" x14ac:dyDescent="0.25"/>
    <row r="285" s="60" customFormat="1" x14ac:dyDescent="0.25"/>
    <row r="286" s="60" customFormat="1" x14ac:dyDescent="0.25"/>
    <row r="287" s="60" customFormat="1" x14ac:dyDescent="0.25"/>
    <row r="288" s="60" customFormat="1" x14ac:dyDescent="0.25"/>
    <row r="289" s="60" customFormat="1" x14ac:dyDescent="0.25"/>
    <row r="290" s="60" customFormat="1" x14ac:dyDescent="0.25"/>
    <row r="291" s="60" customFormat="1" x14ac:dyDescent="0.25"/>
    <row r="292" s="60" customFormat="1" x14ac:dyDescent="0.25"/>
    <row r="293" s="60" customFormat="1" x14ac:dyDescent="0.25"/>
    <row r="294" s="60" customFormat="1" x14ac:dyDescent="0.25"/>
    <row r="295" s="60" customFormat="1" x14ac:dyDescent="0.25"/>
    <row r="296" s="60" customFormat="1" x14ac:dyDescent="0.25"/>
    <row r="297" s="60" customFormat="1" x14ac:dyDescent="0.25"/>
    <row r="298" s="60" customFormat="1" x14ac:dyDescent="0.25"/>
    <row r="299" s="60" customFormat="1" x14ac:dyDescent="0.25"/>
    <row r="300" s="60" customFormat="1" x14ac:dyDescent="0.25"/>
    <row r="301" s="60" customFormat="1" x14ac:dyDescent="0.25"/>
    <row r="302" s="60" customFormat="1" x14ac:dyDescent="0.25"/>
    <row r="303" s="60" customFormat="1" x14ac:dyDescent="0.25"/>
    <row r="304" s="60" customFormat="1" x14ac:dyDescent="0.25"/>
    <row r="305" s="60" customFormat="1" x14ac:dyDescent="0.25"/>
    <row r="306" s="60" customFormat="1" x14ac:dyDescent="0.25"/>
    <row r="307" s="60" customFormat="1" x14ac:dyDescent="0.25"/>
    <row r="308" s="60" customFormat="1" x14ac:dyDescent="0.25"/>
    <row r="309" s="60" customFormat="1" x14ac:dyDescent="0.25"/>
    <row r="310" s="60" customFormat="1" x14ac:dyDescent="0.25"/>
    <row r="311" s="60" customFormat="1" x14ac:dyDescent="0.25"/>
    <row r="312" s="60" customFormat="1" x14ac:dyDescent="0.25"/>
    <row r="313" s="60" customFormat="1" x14ac:dyDescent="0.25"/>
    <row r="314" s="60" customFormat="1" x14ac:dyDescent="0.25"/>
    <row r="315" s="60" customFormat="1" x14ac:dyDescent="0.25"/>
    <row r="316" s="60" customFormat="1" x14ac:dyDescent="0.25"/>
    <row r="317" s="60" customFormat="1" x14ac:dyDescent="0.25"/>
    <row r="318" s="60" customFormat="1" x14ac:dyDescent="0.25"/>
    <row r="319" s="60" customFormat="1" x14ac:dyDescent="0.25"/>
    <row r="320" s="60" customFormat="1" x14ac:dyDescent="0.25"/>
    <row r="321" s="60" customFormat="1" x14ac:dyDescent="0.25"/>
    <row r="322" s="60" customFormat="1" x14ac:dyDescent="0.25"/>
    <row r="323" s="60" customFormat="1" x14ac:dyDescent="0.25"/>
    <row r="324" s="60" customFormat="1" x14ac:dyDescent="0.25"/>
    <row r="325" s="60" customFormat="1" x14ac:dyDescent="0.25"/>
    <row r="326" s="60" customFormat="1" x14ac:dyDescent="0.25"/>
    <row r="327" s="60" customFormat="1" x14ac:dyDescent="0.25"/>
    <row r="328" s="60" customFormat="1" x14ac:dyDescent="0.25"/>
    <row r="329" s="60" customFormat="1" x14ac:dyDescent="0.25"/>
    <row r="330" s="60" customFormat="1" x14ac:dyDescent="0.25"/>
    <row r="331" s="60" customFormat="1" x14ac:dyDescent="0.25"/>
    <row r="332" s="60" customFormat="1" x14ac:dyDescent="0.25"/>
    <row r="333" s="60" customFormat="1" x14ac:dyDescent="0.25"/>
    <row r="334" s="60" customFormat="1" x14ac:dyDescent="0.25"/>
    <row r="335" s="60" customFormat="1" x14ac:dyDescent="0.25"/>
    <row r="336" s="60" customFormat="1" x14ac:dyDescent="0.25"/>
    <row r="337" s="60" customFormat="1" x14ac:dyDescent="0.25"/>
    <row r="338" s="60" customFormat="1" x14ac:dyDescent="0.25"/>
    <row r="339" s="60" customFormat="1" x14ac:dyDescent="0.25"/>
    <row r="340" s="60" customFormat="1" x14ac:dyDescent="0.25"/>
    <row r="341" s="60" customFormat="1" x14ac:dyDescent="0.25"/>
    <row r="342" s="60" customFormat="1" x14ac:dyDescent="0.25"/>
    <row r="343" s="60" customFormat="1" x14ac:dyDescent="0.25"/>
    <row r="344" s="60" customFormat="1" x14ac:dyDescent="0.25"/>
    <row r="345" s="60" customFormat="1" x14ac:dyDescent="0.25"/>
    <row r="346" s="60" customFormat="1" x14ac:dyDescent="0.25"/>
    <row r="347" s="60" customFormat="1" x14ac:dyDescent="0.25"/>
    <row r="348" s="60" customFormat="1" x14ac:dyDescent="0.25"/>
    <row r="349" s="60" customFormat="1" x14ac:dyDescent="0.25"/>
    <row r="350" s="60" customFormat="1" x14ac:dyDescent="0.25"/>
    <row r="351" s="60" customFormat="1" x14ac:dyDescent="0.25"/>
    <row r="352" s="60" customFormat="1" x14ac:dyDescent="0.25"/>
    <row r="353" s="60" customFormat="1" x14ac:dyDescent="0.25"/>
    <row r="354" s="60" customFormat="1" x14ac:dyDescent="0.25"/>
    <row r="355" s="60" customFormat="1" x14ac:dyDescent="0.25"/>
    <row r="356" s="60" customFormat="1" x14ac:dyDescent="0.25"/>
    <row r="357" s="60" customFormat="1" x14ac:dyDescent="0.25"/>
    <row r="358" s="60" customFormat="1" x14ac:dyDescent="0.25"/>
    <row r="359" s="60" customFormat="1" x14ac:dyDescent="0.25"/>
    <row r="360" s="60" customFormat="1" x14ac:dyDescent="0.25"/>
    <row r="361" s="60" customFormat="1" x14ac:dyDescent="0.25"/>
    <row r="362" s="60" customFormat="1" x14ac:dyDescent="0.25"/>
    <row r="363" s="60" customFormat="1" x14ac:dyDescent="0.25"/>
    <row r="364" s="60" customFormat="1" x14ac:dyDescent="0.25"/>
    <row r="365" s="60" customFormat="1" x14ac:dyDescent="0.25"/>
    <row r="366" s="60" customFormat="1" x14ac:dyDescent="0.25"/>
    <row r="367" s="60" customFormat="1" x14ac:dyDescent="0.25"/>
    <row r="368" s="60" customFormat="1" x14ac:dyDescent="0.25"/>
    <row r="369" s="60" customFormat="1" x14ac:dyDescent="0.25"/>
    <row r="370" s="60" customFormat="1" x14ac:dyDescent="0.25"/>
    <row r="371" s="60" customFormat="1" x14ac:dyDescent="0.25"/>
    <row r="372" s="60" customFormat="1" x14ac:dyDescent="0.25"/>
    <row r="373" s="60" customFormat="1" x14ac:dyDescent="0.25"/>
    <row r="374" s="60" customFormat="1" x14ac:dyDescent="0.25"/>
    <row r="375" s="60" customFormat="1" x14ac:dyDescent="0.25"/>
    <row r="376" s="60" customFormat="1" x14ac:dyDescent="0.25"/>
    <row r="377" s="60" customFormat="1" x14ac:dyDescent="0.25"/>
    <row r="378" s="60" customFormat="1" x14ac:dyDescent="0.25"/>
    <row r="379" s="60" customFormat="1" x14ac:dyDescent="0.25"/>
    <row r="380" s="60" customFormat="1" x14ac:dyDescent="0.25"/>
    <row r="381" s="60" customFormat="1" x14ac:dyDescent="0.25"/>
    <row r="382" s="60" customFormat="1" x14ac:dyDescent="0.25"/>
    <row r="383" s="60" customFormat="1" x14ac:dyDescent="0.25"/>
    <row r="384" s="60" customFormat="1" x14ac:dyDescent="0.25"/>
    <row r="385" s="60" customFormat="1" x14ac:dyDescent="0.25"/>
    <row r="386" s="60" customFormat="1" x14ac:dyDescent="0.25"/>
    <row r="387" s="60" customFormat="1" x14ac:dyDescent="0.25"/>
    <row r="388" s="60" customFormat="1" x14ac:dyDescent="0.25"/>
    <row r="389" s="60" customFormat="1" x14ac:dyDescent="0.25"/>
    <row r="390" s="60" customFormat="1" x14ac:dyDescent="0.25"/>
    <row r="391" s="60" customFormat="1" x14ac:dyDescent="0.25"/>
    <row r="392" s="60" customFormat="1" x14ac:dyDescent="0.25"/>
    <row r="393" s="60" customFormat="1" x14ac:dyDescent="0.25"/>
    <row r="394" s="60" customFormat="1" x14ac:dyDescent="0.25"/>
    <row r="395" s="60" customFormat="1" x14ac:dyDescent="0.25"/>
    <row r="396" s="60" customFormat="1" x14ac:dyDescent="0.25"/>
    <row r="397" s="60" customFormat="1" x14ac:dyDescent="0.25"/>
    <row r="398" s="60" customFormat="1" x14ac:dyDescent="0.25"/>
    <row r="399" s="60" customFormat="1" x14ac:dyDescent="0.25"/>
    <row r="400" s="60" customFormat="1" x14ac:dyDescent="0.25"/>
    <row r="401" s="60" customFormat="1" x14ac:dyDescent="0.25"/>
    <row r="402" s="60" customFormat="1" x14ac:dyDescent="0.25"/>
    <row r="403" s="60" customFormat="1" x14ac:dyDescent="0.25"/>
    <row r="404" s="60" customFormat="1" x14ac:dyDescent="0.25"/>
    <row r="405" s="60" customFormat="1" x14ac:dyDescent="0.25"/>
    <row r="406" s="60" customFormat="1" x14ac:dyDescent="0.25"/>
    <row r="407" s="60" customFormat="1" x14ac:dyDescent="0.25"/>
    <row r="408" s="60" customFormat="1" x14ac:dyDescent="0.25"/>
    <row r="409" s="60" customFormat="1" x14ac:dyDescent="0.25"/>
    <row r="410" s="60" customFormat="1" x14ac:dyDescent="0.25"/>
    <row r="411" s="60" customFormat="1" x14ac:dyDescent="0.25"/>
    <row r="412" s="60" customFormat="1" x14ac:dyDescent="0.25"/>
    <row r="413" s="60" customFormat="1" x14ac:dyDescent="0.25"/>
    <row r="414" s="60" customFormat="1" x14ac:dyDescent="0.25"/>
    <row r="415" s="60" customFormat="1" x14ac:dyDescent="0.25"/>
    <row r="416" s="60" customFormat="1" x14ac:dyDescent="0.25"/>
    <row r="417" s="60" customFormat="1" x14ac:dyDescent="0.25"/>
    <row r="418" s="60" customFormat="1" x14ac:dyDescent="0.25"/>
    <row r="419" s="60" customFormat="1" x14ac:dyDescent="0.25"/>
    <row r="420" s="60" customFormat="1" x14ac:dyDescent="0.25"/>
    <row r="421" s="60" customFormat="1" x14ac:dyDescent="0.25"/>
    <row r="422" s="60" customFormat="1" x14ac:dyDescent="0.25"/>
    <row r="423" s="60" customFormat="1" x14ac:dyDescent="0.25"/>
    <row r="424" s="60" customFormat="1" x14ac:dyDescent="0.25"/>
    <row r="425" s="60" customFormat="1" x14ac:dyDescent="0.25"/>
    <row r="426" s="60" customFormat="1" x14ac:dyDescent="0.25"/>
    <row r="427" s="60" customFormat="1" x14ac:dyDescent="0.25"/>
    <row r="428" s="60" customFormat="1" x14ac:dyDescent="0.25"/>
    <row r="429" s="60" customFormat="1" x14ac:dyDescent="0.25"/>
    <row r="430" s="60" customFormat="1" x14ac:dyDescent="0.25"/>
    <row r="431" s="60" customFormat="1" x14ac:dyDescent="0.25"/>
    <row r="432" s="60" customFormat="1" x14ac:dyDescent="0.25"/>
    <row r="433" s="60" customFormat="1" x14ac:dyDescent="0.25"/>
    <row r="434" s="60" customFormat="1" x14ac:dyDescent="0.25"/>
    <row r="435" s="60" customFormat="1" x14ac:dyDescent="0.25"/>
    <row r="436" s="60" customFormat="1" x14ac:dyDescent="0.25"/>
    <row r="437" s="60" customFormat="1" x14ac:dyDescent="0.25"/>
    <row r="438" s="60" customFormat="1" x14ac:dyDescent="0.25"/>
    <row r="439" s="60" customFormat="1" x14ac:dyDescent="0.25"/>
    <row r="440" s="60" customFormat="1" x14ac:dyDescent="0.25"/>
    <row r="441" s="60" customFormat="1" x14ac:dyDescent="0.25"/>
    <row r="442" s="60" customFormat="1" x14ac:dyDescent="0.25"/>
    <row r="443" s="60" customFormat="1" x14ac:dyDescent="0.25"/>
    <row r="444" s="60" customFormat="1" x14ac:dyDescent="0.25"/>
    <row r="445" s="60" customFormat="1" x14ac:dyDescent="0.25"/>
    <row r="446" s="60" customFormat="1" x14ac:dyDescent="0.25"/>
    <row r="447" s="60" customFormat="1" x14ac:dyDescent="0.25"/>
    <row r="448" s="60" customFormat="1" x14ac:dyDescent="0.25"/>
    <row r="449" s="60" customFormat="1" x14ac:dyDescent="0.25"/>
    <row r="450" s="60" customFormat="1" x14ac:dyDescent="0.25"/>
    <row r="451" s="60" customFormat="1" x14ac:dyDescent="0.25"/>
    <row r="452" s="60" customFormat="1" x14ac:dyDescent="0.25"/>
    <row r="453" s="60" customFormat="1" x14ac:dyDescent="0.25"/>
    <row r="454" s="60" customFormat="1" x14ac:dyDescent="0.25"/>
    <row r="455" s="60" customFormat="1" x14ac:dyDescent="0.25"/>
    <row r="456" s="60" customFormat="1" x14ac:dyDescent="0.25"/>
    <row r="457" s="60" customFormat="1" x14ac:dyDescent="0.25"/>
    <row r="458" s="60" customFormat="1" x14ac:dyDescent="0.25"/>
    <row r="459" s="60" customFormat="1" x14ac:dyDescent="0.25"/>
    <row r="460" s="60" customFormat="1" x14ac:dyDescent="0.25"/>
    <row r="461" s="60" customFormat="1" x14ac:dyDescent="0.25"/>
    <row r="462" s="60" customFormat="1" x14ac:dyDescent="0.25"/>
    <row r="463" s="60" customFormat="1" x14ac:dyDescent="0.25"/>
    <row r="464" s="60" customFormat="1" x14ac:dyDescent="0.25"/>
    <row r="465" s="60" customFormat="1" x14ac:dyDescent="0.25"/>
    <row r="466" s="60" customFormat="1" x14ac:dyDescent="0.25"/>
    <row r="467" s="60" customFormat="1" x14ac:dyDescent="0.25"/>
    <row r="468" s="60" customFormat="1" x14ac:dyDescent="0.25"/>
    <row r="469" s="60" customFormat="1" x14ac:dyDescent="0.25"/>
    <row r="470" s="60" customFormat="1" x14ac:dyDescent="0.25"/>
    <row r="471" s="60" customFormat="1" x14ac:dyDescent="0.25"/>
    <row r="472" s="60" customFormat="1" x14ac:dyDescent="0.25"/>
    <row r="473" s="60" customFormat="1" x14ac:dyDescent="0.25"/>
    <row r="474" s="60" customFormat="1" x14ac:dyDescent="0.25"/>
    <row r="475" s="60" customFormat="1" x14ac:dyDescent="0.25"/>
    <row r="476" s="60" customFormat="1" x14ac:dyDescent="0.25"/>
    <row r="477" s="60" customFormat="1" x14ac:dyDescent="0.25"/>
    <row r="478" s="60" customFormat="1" x14ac:dyDescent="0.25"/>
    <row r="479" s="60" customFormat="1" x14ac:dyDescent="0.25"/>
    <row r="480" s="60" customFormat="1" x14ac:dyDescent="0.25"/>
    <row r="481" s="60" customFormat="1" x14ac:dyDescent="0.25"/>
    <row r="482" s="60" customFormat="1" x14ac:dyDescent="0.25"/>
    <row r="483" s="60" customFormat="1" x14ac:dyDescent="0.25"/>
    <row r="484" s="60" customFormat="1" x14ac:dyDescent="0.25"/>
    <row r="485" s="60" customFormat="1" x14ac:dyDescent="0.25"/>
    <row r="486" s="60" customFormat="1" x14ac:dyDescent="0.25"/>
    <row r="487" s="60" customFormat="1" x14ac:dyDescent="0.25"/>
    <row r="488" s="60" customFormat="1" x14ac:dyDescent="0.25"/>
  </sheetData>
  <mergeCells count="3">
    <mergeCell ref="B2:F2"/>
    <mergeCell ref="C6:D6"/>
    <mergeCell ref="B4:F5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AG489"/>
  <sheetViews>
    <sheetView topLeftCell="A4" zoomScale="60" zoomScaleNormal="60" workbookViewId="0">
      <selection activeCell="E8" sqref="E8"/>
    </sheetView>
  </sheetViews>
  <sheetFormatPr baseColWidth="10" defaultColWidth="11.5703125" defaultRowHeight="15.75" x14ac:dyDescent="0.25"/>
  <cols>
    <col min="1" max="1" width="5.7109375" style="146" customWidth="1"/>
    <col min="2" max="2" width="12.7109375" style="146" customWidth="1"/>
    <col min="3" max="14" width="15.7109375" style="146" customWidth="1"/>
    <col min="15" max="16" width="6.7109375" style="146" customWidth="1"/>
    <col min="17" max="33" width="11.5703125" style="143"/>
    <col min="34" max="16384" width="11.5703125" style="146"/>
  </cols>
  <sheetData>
    <row r="1" spans="2:20" ht="15" customHeight="1" x14ac:dyDescent="0.25"/>
    <row r="2" spans="2:20" ht="49.9" customHeight="1" x14ac:dyDescent="0.25"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90"/>
      <c r="P2" s="90"/>
      <c r="Q2" s="91"/>
      <c r="R2" s="91"/>
      <c r="S2" s="91"/>
      <c r="T2" s="66"/>
    </row>
    <row r="3" spans="2:20" ht="15" customHeight="1" thickBot="1" x14ac:dyDescent="0.3"/>
    <row r="4" spans="2:20" ht="25.15" customHeight="1" x14ac:dyDescent="0.25">
      <c r="B4" s="609" t="s">
        <v>95</v>
      </c>
      <c r="C4" s="610"/>
      <c r="D4" s="610"/>
      <c r="E4" s="610"/>
      <c r="F4" s="610"/>
      <c r="G4" s="610"/>
      <c r="H4" s="610"/>
      <c r="I4" s="610"/>
      <c r="J4" s="610"/>
      <c r="K4" s="610"/>
      <c r="L4" s="610"/>
      <c r="M4" s="610"/>
      <c r="N4" s="611"/>
      <c r="O4" s="142"/>
      <c r="P4" s="142"/>
    </row>
    <row r="5" spans="2:20" ht="25.15" customHeight="1" thickBot="1" x14ac:dyDescent="0.3">
      <c r="B5" s="612"/>
      <c r="C5" s="613"/>
      <c r="D5" s="613"/>
      <c r="E5" s="613"/>
      <c r="F5" s="613"/>
      <c r="G5" s="613"/>
      <c r="H5" s="613"/>
      <c r="I5" s="613"/>
      <c r="J5" s="613"/>
      <c r="K5" s="613"/>
      <c r="L5" s="613"/>
      <c r="M5" s="613"/>
      <c r="N5" s="614"/>
      <c r="O5" s="142"/>
      <c r="P5" s="142"/>
    </row>
    <row r="6" spans="2:20" ht="34.9" customHeight="1" x14ac:dyDescent="0.25">
      <c r="B6" s="615" t="s">
        <v>29</v>
      </c>
      <c r="C6" s="372" t="s">
        <v>96</v>
      </c>
      <c r="D6" s="372" t="s">
        <v>97</v>
      </c>
      <c r="E6" s="373" t="s">
        <v>98</v>
      </c>
      <c r="F6" s="617" t="s">
        <v>99</v>
      </c>
      <c r="G6" s="618"/>
      <c r="H6" s="372" t="s">
        <v>100</v>
      </c>
      <c r="I6" s="619" t="s">
        <v>101</v>
      </c>
      <c r="J6" s="620"/>
      <c r="K6" s="621"/>
      <c r="L6" s="622"/>
      <c r="M6" s="372" t="s">
        <v>102</v>
      </c>
      <c r="N6" s="372" t="s">
        <v>103</v>
      </c>
      <c r="O6" s="144"/>
      <c r="P6" s="144"/>
    </row>
    <row r="7" spans="2:20" ht="19.899999999999999" customHeight="1" thickBot="1" x14ac:dyDescent="0.3">
      <c r="B7" s="616"/>
      <c r="C7" s="374" t="s">
        <v>104</v>
      </c>
      <c r="D7" s="374" t="s">
        <v>104</v>
      </c>
      <c r="E7" s="375" t="s">
        <v>105</v>
      </c>
      <c r="F7" s="375" t="s">
        <v>28</v>
      </c>
      <c r="G7" s="376" t="s">
        <v>106</v>
      </c>
      <c r="H7" s="377" t="s">
        <v>104</v>
      </c>
      <c r="I7" s="378" t="s">
        <v>107</v>
      </c>
      <c r="J7" s="379" t="s">
        <v>107</v>
      </c>
      <c r="K7" s="380" t="s">
        <v>110</v>
      </c>
      <c r="L7" s="381" t="s">
        <v>104</v>
      </c>
      <c r="M7" s="374" t="s">
        <v>108</v>
      </c>
      <c r="N7" s="374" t="s">
        <v>109</v>
      </c>
      <c r="O7" s="144"/>
      <c r="P7" s="144"/>
    </row>
    <row r="8" spans="2:20" ht="30" customHeight="1" x14ac:dyDescent="0.25">
      <c r="B8" s="135" t="s">
        <v>37</v>
      </c>
      <c r="C8" s="169">
        <f>Sectorización!L7-Sectorización!L8</f>
        <v>3.7629595814900938</v>
      </c>
      <c r="D8" s="93">
        <f>Sectorización!G7</f>
        <v>96.975099999999998</v>
      </c>
      <c r="E8" s="166">
        <f>C8/D8</f>
        <v>3.8803358609479074E-2</v>
      </c>
      <c r="F8" s="159">
        <f>'Hipótesis de distribución'!F7</f>
        <v>0.21583333333333332</v>
      </c>
      <c r="G8" s="172">
        <f>F8/1000</f>
        <v>2.1583333333333331E-4</v>
      </c>
      <c r="H8" s="166">
        <f>ABS(((G8/(0.2785*(E8^0.54)*150)))^(1/2.63))</f>
        <v>1.9034809194100517E-2</v>
      </c>
      <c r="I8" s="159">
        <f>ROUND(((H8*100)/2.54),0)</f>
        <v>1</v>
      </c>
      <c r="J8" s="160">
        <f>IF(I8&gt;=2,I8,2)</f>
        <v>2</v>
      </c>
      <c r="K8" s="291">
        <f>IF(J8=2,55.7,2)</f>
        <v>55.7</v>
      </c>
      <c r="L8" s="255">
        <f>K8/1000</f>
        <v>5.57E-2</v>
      </c>
      <c r="M8" s="184">
        <f>PI()*((L8/2)^2)</f>
        <v>2.4366899479589493E-3</v>
      </c>
      <c r="N8" s="166">
        <f>G8/M8</f>
        <v>8.8576445072185872E-2</v>
      </c>
      <c r="O8" s="145"/>
      <c r="P8" s="145"/>
    </row>
    <row r="9" spans="2:20" ht="30" customHeight="1" x14ac:dyDescent="0.25">
      <c r="B9" s="282" t="s">
        <v>38</v>
      </c>
      <c r="C9" s="220">
        <f>ABS(Sectorización!L8-Sectorización!L9)</f>
        <v>4.6503645803687164</v>
      </c>
      <c r="D9" s="162">
        <f>Sectorización!G8</f>
        <v>86.260599999999997</v>
      </c>
      <c r="E9" s="283">
        <f t="shared" ref="E9:E24" si="0">C9/D9</f>
        <v>5.3910644956894765E-2</v>
      </c>
      <c r="F9" s="305">
        <f>'Hipótesis de distribución'!F8</f>
        <v>0.19914908142839038</v>
      </c>
      <c r="G9" s="221">
        <f t="shared" ref="G9:G24" si="1">F9/1000</f>
        <v>1.9914908142839037E-4</v>
      </c>
      <c r="H9" s="283">
        <f t="shared" ref="H9:H24" si="2">ABS(((G9/(0.2785*(E9^0.54)*150)))^(1/2.63))</f>
        <v>1.7256076396203662E-2</v>
      </c>
      <c r="I9" s="284">
        <f t="shared" ref="I9:I24" si="3">ROUND(((H9*100)/2.54),0)</f>
        <v>1</v>
      </c>
      <c r="J9" s="285">
        <f t="shared" ref="J9:J24" si="4">IF(I9&gt;=2,I9,2)</f>
        <v>2</v>
      </c>
      <c r="K9" s="286">
        <f t="shared" ref="K9:K24" si="5">IF(J9=2,55.7,2)</f>
        <v>55.7</v>
      </c>
      <c r="L9" s="287">
        <f t="shared" ref="L9:L24" si="6">K9/1000</f>
        <v>5.57E-2</v>
      </c>
      <c r="M9" s="288">
        <f t="shared" ref="M9:M24" si="7">PI()*((L9/2)^2)</f>
        <v>2.4366899479589493E-3</v>
      </c>
      <c r="N9" s="283">
        <f t="shared" ref="N9:N24" si="8">G9/M9</f>
        <v>8.1729348288732476E-2</v>
      </c>
      <c r="O9" s="145"/>
      <c r="P9" s="145"/>
    </row>
    <row r="10" spans="2:20" ht="30" customHeight="1" x14ac:dyDescent="0.25">
      <c r="B10" s="136" t="s">
        <v>39</v>
      </c>
      <c r="C10" s="289">
        <f>Sectorización!L9-Sectorización!L10</f>
        <v>4.4384154503598552</v>
      </c>
      <c r="D10" s="94">
        <f>Sectorización!G9</f>
        <v>111.3882</v>
      </c>
      <c r="E10" s="167">
        <f t="shared" si="0"/>
        <v>3.9846370175295548E-2</v>
      </c>
      <c r="F10" s="164">
        <f>'Hipótesis de distribución'!F9</f>
        <v>0.18430822454995954</v>
      </c>
      <c r="G10" s="173">
        <f t="shared" si="1"/>
        <v>1.8430822454995954E-4</v>
      </c>
      <c r="H10" s="167">
        <f t="shared" si="2"/>
        <v>1.7828287494851634E-2</v>
      </c>
      <c r="I10" s="179">
        <f t="shared" si="3"/>
        <v>1</v>
      </c>
      <c r="J10" s="176">
        <f t="shared" si="4"/>
        <v>2</v>
      </c>
      <c r="K10" s="178">
        <f t="shared" si="5"/>
        <v>55.7</v>
      </c>
      <c r="L10" s="177">
        <f t="shared" si="6"/>
        <v>5.57E-2</v>
      </c>
      <c r="M10" s="185">
        <f t="shared" si="7"/>
        <v>2.4366899479589493E-3</v>
      </c>
      <c r="N10" s="167">
        <f t="shared" si="8"/>
        <v>7.5638767543791161E-2</v>
      </c>
      <c r="O10" s="145"/>
      <c r="P10" s="145"/>
    </row>
    <row r="11" spans="2:20" ht="30" customHeight="1" x14ac:dyDescent="0.25">
      <c r="B11" s="282" t="s">
        <v>64</v>
      </c>
      <c r="C11" s="290">
        <f>Sectorización!L10-Sectorización!L11</f>
        <v>1.0277043288073173</v>
      </c>
      <c r="D11" s="162">
        <f>Sectorización!G10</f>
        <v>94.485900000000001</v>
      </c>
      <c r="E11" s="283">
        <f t="shared" si="0"/>
        <v>1.087680097038095E-2</v>
      </c>
      <c r="F11" s="305">
        <f>'Hipótesis de distribución'!F10</f>
        <v>0.16514424546627554</v>
      </c>
      <c r="G11" s="221">
        <f t="shared" si="1"/>
        <v>1.6514424546627555E-4</v>
      </c>
      <c r="H11" s="283">
        <f t="shared" si="2"/>
        <v>2.232333454776789E-2</v>
      </c>
      <c r="I11" s="284">
        <f t="shared" si="3"/>
        <v>1</v>
      </c>
      <c r="J11" s="285">
        <f t="shared" si="4"/>
        <v>2</v>
      </c>
      <c r="K11" s="286">
        <f t="shared" si="5"/>
        <v>55.7</v>
      </c>
      <c r="L11" s="287">
        <f t="shared" si="6"/>
        <v>5.57E-2</v>
      </c>
      <c r="M11" s="288">
        <f t="shared" si="7"/>
        <v>2.4366899479589493E-3</v>
      </c>
      <c r="N11" s="283">
        <f t="shared" si="8"/>
        <v>6.7774008590877857E-2</v>
      </c>
      <c r="O11" s="145"/>
      <c r="P11" s="145"/>
    </row>
    <row r="12" spans="2:20" ht="30" customHeight="1" x14ac:dyDescent="0.25">
      <c r="B12" s="136" t="s">
        <v>65</v>
      </c>
      <c r="C12" s="170">
        <f>Sectorización!L11-Sectorización!L12</f>
        <v>4.823247446426592</v>
      </c>
      <c r="D12" s="94">
        <f>Sectorización!G11</f>
        <v>75.623900000000006</v>
      </c>
      <c r="E12" s="167">
        <f t="shared" si="0"/>
        <v>6.3779406330889993E-2</v>
      </c>
      <c r="F12" s="164">
        <f>'Hipótesis de distribución'!F11</f>
        <v>0.14888825236015607</v>
      </c>
      <c r="G12" s="173">
        <f t="shared" si="1"/>
        <v>1.4888825236015606E-4</v>
      </c>
      <c r="H12" s="167">
        <f t="shared" si="2"/>
        <v>1.4925284925860075E-2</v>
      </c>
      <c r="I12" s="179">
        <f t="shared" si="3"/>
        <v>1</v>
      </c>
      <c r="J12" s="176">
        <f t="shared" si="4"/>
        <v>2</v>
      </c>
      <c r="K12" s="178">
        <f t="shared" si="5"/>
        <v>55.7</v>
      </c>
      <c r="L12" s="177">
        <f t="shared" si="6"/>
        <v>5.57E-2</v>
      </c>
      <c r="M12" s="185">
        <f t="shared" si="7"/>
        <v>2.4366899479589493E-3</v>
      </c>
      <c r="N12" s="167">
        <f t="shared" si="8"/>
        <v>6.1102666133157277E-2</v>
      </c>
      <c r="O12" s="145"/>
      <c r="P12" s="145"/>
    </row>
    <row r="13" spans="2:20" ht="30" customHeight="1" x14ac:dyDescent="0.25">
      <c r="B13" s="282" t="s">
        <v>61</v>
      </c>
      <c r="C13" s="220">
        <f>ABS(Sectorización!L12-Sectorización!L13)</f>
        <v>1.1460831496588071</v>
      </c>
      <c r="D13" s="162">
        <f>Sectorización!G12</f>
        <v>33.049199999999999</v>
      </c>
      <c r="E13" s="283">
        <f t="shared" si="0"/>
        <v>3.4678090533471526E-2</v>
      </c>
      <c r="F13" s="305">
        <f>'Hipótesis de distribución'!F12</f>
        <v>0.13587740527018954</v>
      </c>
      <c r="G13" s="221">
        <f t="shared" si="1"/>
        <v>1.3587740527018955E-4</v>
      </c>
      <c r="H13" s="283">
        <f t="shared" si="2"/>
        <v>1.6336396682126414E-2</v>
      </c>
      <c r="I13" s="284">
        <f t="shared" si="3"/>
        <v>1</v>
      </c>
      <c r="J13" s="285">
        <f t="shared" si="4"/>
        <v>2</v>
      </c>
      <c r="K13" s="286">
        <f t="shared" si="5"/>
        <v>55.7</v>
      </c>
      <c r="L13" s="287">
        <f t="shared" si="6"/>
        <v>5.57E-2</v>
      </c>
      <c r="M13" s="288">
        <f t="shared" si="7"/>
        <v>2.4366899479589493E-3</v>
      </c>
      <c r="N13" s="283">
        <f t="shared" si="8"/>
        <v>5.5763108221464484E-2</v>
      </c>
      <c r="O13" s="145"/>
      <c r="P13" s="145"/>
    </row>
    <row r="14" spans="2:20" ht="30" customHeight="1" x14ac:dyDescent="0.25">
      <c r="B14" s="136" t="s">
        <v>143</v>
      </c>
      <c r="C14" s="170">
        <f>Sectorización!L13-Sectorización!L17</f>
        <v>8.8798526918026255E-2</v>
      </c>
      <c r="D14" s="94">
        <f>Sectorización!G13</f>
        <v>26.0762</v>
      </c>
      <c r="E14" s="167">
        <f t="shared" si="0"/>
        <v>3.4053476702136914E-3</v>
      </c>
      <c r="F14" s="164">
        <f>'Hipótesis de distribución'!F13</f>
        <v>0.13019139743872724</v>
      </c>
      <c r="G14" s="173">
        <f t="shared" si="1"/>
        <v>1.3019139743872723E-4</v>
      </c>
      <c r="H14" s="167">
        <f t="shared" si="2"/>
        <v>2.5884591113661023E-2</v>
      </c>
      <c r="I14" s="179">
        <f t="shared" si="3"/>
        <v>1</v>
      </c>
      <c r="J14" s="176">
        <f t="shared" si="4"/>
        <v>2</v>
      </c>
      <c r="K14" s="178">
        <f t="shared" si="5"/>
        <v>55.7</v>
      </c>
      <c r="L14" s="177">
        <f t="shared" si="6"/>
        <v>5.57E-2</v>
      </c>
      <c r="M14" s="185">
        <f t="shared" si="7"/>
        <v>2.4366899479589493E-3</v>
      </c>
      <c r="N14" s="167">
        <f t="shared" si="8"/>
        <v>5.3429611571131477E-2</v>
      </c>
      <c r="O14" s="145"/>
      <c r="P14" s="145"/>
    </row>
    <row r="15" spans="2:20" ht="30" customHeight="1" x14ac:dyDescent="0.25">
      <c r="B15" s="282" t="s">
        <v>141</v>
      </c>
      <c r="C15" s="290">
        <f>Sectorización!L7-Sectorización!L14</f>
        <v>0.57871478028854995</v>
      </c>
      <c r="D15" s="162">
        <f>Sectorización!G14</f>
        <v>17.547599999999999</v>
      </c>
      <c r="E15" s="283">
        <f t="shared" si="0"/>
        <v>3.2979711202019077E-2</v>
      </c>
      <c r="F15" s="305">
        <f>'Hipótesis de distribución'!F14</f>
        <v>0.21583333333333332</v>
      </c>
      <c r="G15" s="221">
        <f t="shared" si="1"/>
        <v>2.1583333333333331E-4</v>
      </c>
      <c r="H15" s="283">
        <f t="shared" si="2"/>
        <v>1.9681081451568383E-2</v>
      </c>
      <c r="I15" s="284">
        <f t="shared" si="3"/>
        <v>1</v>
      </c>
      <c r="J15" s="285">
        <f t="shared" si="4"/>
        <v>2</v>
      </c>
      <c r="K15" s="286">
        <f t="shared" si="5"/>
        <v>55.7</v>
      </c>
      <c r="L15" s="287">
        <f t="shared" si="6"/>
        <v>5.57E-2</v>
      </c>
      <c r="M15" s="288">
        <f t="shared" si="7"/>
        <v>2.4366899479589493E-3</v>
      </c>
      <c r="N15" s="283">
        <f t="shared" si="8"/>
        <v>8.8576445072185872E-2</v>
      </c>
      <c r="O15" s="145"/>
      <c r="P15" s="145"/>
    </row>
    <row r="16" spans="2:20" ht="30" customHeight="1" x14ac:dyDescent="0.25">
      <c r="B16" s="136" t="s">
        <v>85</v>
      </c>
      <c r="C16" s="170">
        <f>Sectorización!L14-Sectorización!L15</f>
        <v>7.420936682541992</v>
      </c>
      <c r="D16" s="94">
        <f>Sectorización!G15</f>
        <v>95.631299999999982</v>
      </c>
      <c r="E16" s="167">
        <f t="shared" si="0"/>
        <v>7.7599454180189889E-2</v>
      </c>
      <c r="F16" s="164">
        <f>'Hipótesis de distribución'!F15</f>
        <v>0.21281432558054753</v>
      </c>
      <c r="G16" s="173">
        <f t="shared" si="1"/>
        <v>2.1281432558054752E-4</v>
      </c>
      <c r="H16" s="167">
        <f t="shared" si="2"/>
        <v>1.6421859314794934E-2</v>
      </c>
      <c r="I16" s="179">
        <f t="shared" si="3"/>
        <v>1</v>
      </c>
      <c r="J16" s="176">
        <f t="shared" si="4"/>
        <v>2</v>
      </c>
      <c r="K16" s="178">
        <f t="shared" si="5"/>
        <v>55.7</v>
      </c>
      <c r="L16" s="177">
        <f t="shared" si="6"/>
        <v>5.57E-2</v>
      </c>
      <c r="M16" s="185">
        <f t="shared" si="7"/>
        <v>2.4366899479589493E-3</v>
      </c>
      <c r="N16" s="167">
        <f t="shared" si="8"/>
        <v>8.7337466040276368E-2</v>
      </c>
      <c r="O16" s="145"/>
      <c r="P16" s="145"/>
    </row>
    <row r="17" spans="1:16" ht="30" customHeight="1" x14ac:dyDescent="0.25">
      <c r="B17" s="282" t="s">
        <v>86</v>
      </c>
      <c r="C17" s="220">
        <f>Sectorización!L15-Sectorización!L16</f>
        <v>0.16117467715903899</v>
      </c>
      <c r="D17" s="162">
        <f>Sectorización!G16</f>
        <v>4.4747000000000003</v>
      </c>
      <c r="E17" s="283">
        <f t="shared" si="0"/>
        <v>3.6019102321728606E-2</v>
      </c>
      <c r="F17" s="305">
        <f>'Hipótesis de distribución'!F16</f>
        <v>0.19636127011376101</v>
      </c>
      <c r="G17" s="221">
        <f t="shared" si="1"/>
        <v>1.9636127011376102E-4</v>
      </c>
      <c r="H17" s="283">
        <f t="shared" si="2"/>
        <v>1.8645531127338862E-2</v>
      </c>
      <c r="I17" s="284">
        <f t="shared" si="3"/>
        <v>1</v>
      </c>
      <c r="J17" s="285">
        <f t="shared" si="4"/>
        <v>2</v>
      </c>
      <c r="K17" s="286">
        <f t="shared" si="5"/>
        <v>55.7</v>
      </c>
      <c r="L17" s="287">
        <f t="shared" si="6"/>
        <v>5.57E-2</v>
      </c>
      <c r="M17" s="288">
        <f t="shared" si="7"/>
        <v>2.4366899479589493E-3</v>
      </c>
      <c r="N17" s="283">
        <f t="shared" si="8"/>
        <v>8.0585250609434167E-2</v>
      </c>
      <c r="O17" s="145"/>
      <c r="P17" s="145"/>
    </row>
    <row r="18" spans="1:16" ht="30" customHeight="1" x14ac:dyDescent="0.25">
      <c r="B18" s="136" t="s">
        <v>142</v>
      </c>
      <c r="C18" s="170">
        <f>Sectorización!L16-Sectorización!L17</f>
        <v>0.18385146398478014</v>
      </c>
      <c r="D18" s="94">
        <f>Sectorización!G17</f>
        <v>44.459099999999999</v>
      </c>
      <c r="E18" s="167">
        <f t="shared" si="0"/>
        <v>4.1352943263534385E-3</v>
      </c>
      <c r="F18" s="164">
        <f>'Hipótesis de distribución'!F17</f>
        <v>0.19559141246990142</v>
      </c>
      <c r="G18" s="173">
        <f t="shared" si="1"/>
        <v>1.9559141246990142E-4</v>
      </c>
      <c r="H18" s="167">
        <f t="shared" si="2"/>
        <v>2.9035900930340256E-2</v>
      </c>
      <c r="I18" s="179">
        <f t="shared" si="3"/>
        <v>1</v>
      </c>
      <c r="J18" s="176">
        <f t="shared" si="4"/>
        <v>2</v>
      </c>
      <c r="K18" s="178">
        <f t="shared" si="5"/>
        <v>55.7</v>
      </c>
      <c r="L18" s="177">
        <f t="shared" si="6"/>
        <v>5.57E-2</v>
      </c>
      <c r="M18" s="185">
        <f t="shared" si="7"/>
        <v>2.4366899479589493E-3</v>
      </c>
      <c r="N18" s="167">
        <f t="shared" si="8"/>
        <v>8.0269306578678645E-2</v>
      </c>
      <c r="O18" s="145"/>
      <c r="P18" s="145"/>
    </row>
    <row r="19" spans="1:16" ht="30" customHeight="1" x14ac:dyDescent="0.25">
      <c r="B19" s="282" t="s">
        <v>144</v>
      </c>
      <c r="C19" s="220">
        <f>Sectorización!L17-Sectorización!L18</f>
        <v>2.2834144454918714E-2</v>
      </c>
      <c r="D19" s="162">
        <f>Sectorización!G18</f>
        <v>23.626799999999999</v>
      </c>
      <c r="E19" s="283">
        <f t="shared" si="0"/>
        <v>9.6645099865063039E-4</v>
      </c>
      <c r="F19" s="305">
        <f>'Hipótesis de distribución'!F18</f>
        <v>0.31364743996943062</v>
      </c>
      <c r="G19" s="221">
        <f t="shared" si="1"/>
        <v>3.1364743996943064E-4</v>
      </c>
      <c r="H19" s="283">
        <f t="shared" si="2"/>
        <v>4.6832035303338307E-2</v>
      </c>
      <c r="I19" s="284">
        <f t="shared" si="3"/>
        <v>2</v>
      </c>
      <c r="J19" s="285">
        <f t="shared" si="4"/>
        <v>2</v>
      </c>
      <c r="K19" s="286">
        <f t="shared" si="5"/>
        <v>55.7</v>
      </c>
      <c r="L19" s="287">
        <f t="shared" si="6"/>
        <v>5.57E-2</v>
      </c>
      <c r="M19" s="288">
        <f t="shared" si="7"/>
        <v>2.4366899479589493E-3</v>
      </c>
      <c r="N19" s="283">
        <f t="shared" si="8"/>
        <v>0.12871864975359376</v>
      </c>
      <c r="O19" s="145"/>
      <c r="P19" s="145"/>
    </row>
    <row r="20" spans="1:16" ht="30" customHeight="1" x14ac:dyDescent="0.25">
      <c r="B20" s="136" t="s">
        <v>40</v>
      </c>
      <c r="C20" s="170">
        <f>ABS(Sectorización!L18-Sectorización!L19)</f>
        <v>2.7784954942298441</v>
      </c>
      <c r="D20" s="94">
        <f>Sectorización!G19</f>
        <v>828.37099999999998</v>
      </c>
      <c r="E20" s="167">
        <f t="shared" si="0"/>
        <v>3.3541679926383759E-3</v>
      </c>
      <c r="F20" s="164">
        <f>'Hipótesis de distribución'!F19</f>
        <v>0.30958252554389554</v>
      </c>
      <c r="G20" s="173">
        <f t="shared" si="1"/>
        <v>3.0958252554389554E-4</v>
      </c>
      <c r="H20" s="167">
        <f t="shared" si="2"/>
        <v>3.6093687025702634E-2</v>
      </c>
      <c r="I20" s="179">
        <f t="shared" si="3"/>
        <v>1</v>
      </c>
      <c r="J20" s="176">
        <f t="shared" si="4"/>
        <v>2</v>
      </c>
      <c r="K20" s="178">
        <f t="shared" si="5"/>
        <v>55.7</v>
      </c>
      <c r="L20" s="177">
        <f t="shared" si="6"/>
        <v>5.57E-2</v>
      </c>
      <c r="M20" s="185">
        <f t="shared" si="7"/>
        <v>2.4366899479589493E-3</v>
      </c>
      <c r="N20" s="167">
        <f t="shared" si="8"/>
        <v>0.1270504381582121</v>
      </c>
      <c r="O20" s="145"/>
      <c r="P20" s="145"/>
    </row>
    <row r="21" spans="1:16" ht="30" customHeight="1" x14ac:dyDescent="0.25">
      <c r="B21" s="282" t="s">
        <v>145</v>
      </c>
      <c r="C21" s="220">
        <f>ABS(Sectorización!L19-Sectorización!L20)</f>
        <v>0.14367144052931735</v>
      </c>
      <c r="D21" s="162">
        <f>Sectorización!G20</f>
        <v>6.3987999999999996</v>
      </c>
      <c r="E21" s="283">
        <f t="shared" si="0"/>
        <v>2.2452872496298893E-2</v>
      </c>
      <c r="F21" s="305">
        <f>'Hipótesis de distribución'!F20</f>
        <v>0.16706397764088252</v>
      </c>
      <c r="G21" s="221">
        <f t="shared" si="1"/>
        <v>1.6706397764088251E-4</v>
      </c>
      <c r="H21" s="283">
        <f t="shared" si="2"/>
        <v>1.9321366701279759E-2</v>
      </c>
      <c r="I21" s="284">
        <f t="shared" si="3"/>
        <v>1</v>
      </c>
      <c r="J21" s="285">
        <f t="shared" si="4"/>
        <v>2</v>
      </c>
      <c r="K21" s="286">
        <f t="shared" si="5"/>
        <v>55.7</v>
      </c>
      <c r="L21" s="287">
        <f t="shared" si="6"/>
        <v>5.57E-2</v>
      </c>
      <c r="M21" s="288">
        <f t="shared" si="7"/>
        <v>2.4366899479589493E-3</v>
      </c>
      <c r="N21" s="283">
        <f t="shared" si="8"/>
        <v>6.8561852845012441E-2</v>
      </c>
      <c r="O21" s="145"/>
      <c r="P21" s="145"/>
    </row>
    <row r="22" spans="1:16" ht="30" customHeight="1" x14ac:dyDescent="0.25">
      <c r="B22" s="136" t="s">
        <v>146</v>
      </c>
      <c r="C22" s="170">
        <f>ABS(Sectorización!L20-Sectorización!L21)</f>
        <v>1.6972862935072328</v>
      </c>
      <c r="D22" s="94">
        <f>Sectorización!G21</f>
        <v>212.8605</v>
      </c>
      <c r="E22" s="167">
        <f t="shared" si="0"/>
        <v>7.9737024647937634E-3</v>
      </c>
      <c r="F22" s="164">
        <f>'Hipótesis de distribución'!F21</f>
        <v>9.9577850893887168E-2</v>
      </c>
      <c r="G22" s="173">
        <f t="shared" si="1"/>
        <v>9.9577850893887168E-5</v>
      </c>
      <c r="H22" s="167">
        <f t="shared" si="2"/>
        <v>1.9629475628164892E-2</v>
      </c>
      <c r="I22" s="179">
        <f t="shared" si="3"/>
        <v>1</v>
      </c>
      <c r="J22" s="176">
        <f t="shared" si="4"/>
        <v>2</v>
      </c>
      <c r="K22" s="178">
        <f t="shared" si="5"/>
        <v>55.7</v>
      </c>
      <c r="L22" s="177">
        <f t="shared" si="6"/>
        <v>5.57E-2</v>
      </c>
      <c r="M22" s="185">
        <f t="shared" si="7"/>
        <v>2.4366899479589493E-3</v>
      </c>
      <c r="N22" s="167">
        <f t="shared" si="8"/>
        <v>4.0866032618264304E-2</v>
      </c>
      <c r="O22" s="145"/>
      <c r="P22" s="145"/>
    </row>
    <row r="23" spans="1:16" ht="30" customHeight="1" x14ac:dyDescent="0.25">
      <c r="B23" s="282" t="s">
        <v>147</v>
      </c>
      <c r="C23" s="220">
        <f>ABS(Sectorización!L21-Sectorización!L22)</f>
        <v>0.72633472833402379</v>
      </c>
      <c r="D23" s="162">
        <f>Sectorización!G22</f>
        <v>349.82990000000001</v>
      </c>
      <c r="E23" s="283">
        <f t="shared" si="0"/>
        <v>2.0762511390079114E-3</v>
      </c>
      <c r="F23" s="305">
        <f>'Hipótesis de distribución'!F22</f>
        <v>6.2955891209266021E-2</v>
      </c>
      <c r="G23" s="221">
        <f t="shared" si="1"/>
        <v>6.2955891209266022E-5</v>
      </c>
      <c r="H23" s="283">
        <f t="shared" si="2"/>
        <v>2.173612113842802E-2</v>
      </c>
      <c r="I23" s="284">
        <f t="shared" si="3"/>
        <v>1</v>
      </c>
      <c r="J23" s="285">
        <f t="shared" si="4"/>
        <v>2</v>
      </c>
      <c r="K23" s="286">
        <f t="shared" si="5"/>
        <v>55.7</v>
      </c>
      <c r="L23" s="287">
        <f t="shared" si="6"/>
        <v>5.57E-2</v>
      </c>
      <c r="M23" s="288">
        <f t="shared" si="7"/>
        <v>2.4366899479589493E-3</v>
      </c>
      <c r="N23" s="283">
        <f t="shared" si="8"/>
        <v>2.583664419923426E-2</v>
      </c>
      <c r="O23" s="145"/>
      <c r="P23" s="145"/>
    </row>
    <row r="24" spans="1:16" ht="30" customHeight="1" thickBot="1" x14ac:dyDescent="0.3">
      <c r="B24" s="277" t="s">
        <v>148</v>
      </c>
      <c r="C24" s="194">
        <f>ABS(Sectorización!L20-Sectorización!L22)</f>
        <v>2.4236210218412566</v>
      </c>
      <c r="D24" s="95">
        <f>Sectorización!G23</f>
        <v>401.94900000000001</v>
      </c>
      <c r="E24" s="168">
        <f t="shared" si="0"/>
        <v>6.029672973041994E-3</v>
      </c>
      <c r="F24" s="174">
        <f>'Hipótesis de distribución'!F23</f>
        <v>6.6385233929258117E-2</v>
      </c>
      <c r="G24" s="175">
        <f t="shared" si="1"/>
        <v>6.6385233929258121E-5</v>
      </c>
      <c r="H24" s="168">
        <f t="shared" si="2"/>
        <v>1.7818582682806203E-2</v>
      </c>
      <c r="I24" s="180">
        <f t="shared" si="3"/>
        <v>1</v>
      </c>
      <c r="J24" s="181">
        <f t="shared" si="4"/>
        <v>2</v>
      </c>
      <c r="K24" s="182">
        <f t="shared" si="5"/>
        <v>55.7</v>
      </c>
      <c r="L24" s="183">
        <f t="shared" si="6"/>
        <v>5.57E-2</v>
      </c>
      <c r="M24" s="186">
        <f t="shared" si="7"/>
        <v>2.4366899479589493E-3</v>
      </c>
      <c r="N24" s="168">
        <f t="shared" si="8"/>
        <v>2.724402174550954E-2</v>
      </c>
      <c r="O24" s="145"/>
      <c r="P24" s="145"/>
    </row>
    <row r="25" spans="1:16" s="143" customFormat="1" ht="34.9" customHeight="1" x14ac:dyDescent="0.25">
      <c r="A25" s="146"/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</row>
    <row r="26" spans="1:16" s="143" customFormat="1" ht="34.9" customHeight="1" x14ac:dyDescent="0.25">
      <c r="A26" s="146"/>
      <c r="B26" s="146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</row>
    <row r="27" spans="1:16" s="143" customFormat="1" x14ac:dyDescent="0.25"/>
    <row r="28" spans="1:16" s="143" customFormat="1" x14ac:dyDescent="0.25"/>
    <row r="29" spans="1:16" s="143" customFormat="1" x14ac:dyDescent="0.25"/>
    <row r="30" spans="1:16" s="143" customFormat="1" x14ac:dyDescent="0.25"/>
    <row r="31" spans="1:16" s="143" customFormat="1" x14ac:dyDescent="0.25"/>
    <row r="32" spans="1:16" s="143" customFormat="1" x14ac:dyDescent="0.25"/>
    <row r="33" s="143" customFormat="1" x14ac:dyDescent="0.25"/>
    <row r="34" s="143" customFormat="1" x14ac:dyDescent="0.25"/>
    <row r="35" s="143" customFormat="1" x14ac:dyDescent="0.25"/>
    <row r="36" s="143" customFormat="1" x14ac:dyDescent="0.25"/>
    <row r="37" s="143" customFormat="1" x14ac:dyDescent="0.25"/>
    <row r="38" s="143" customFormat="1" x14ac:dyDescent="0.25"/>
    <row r="39" s="143" customFormat="1" x14ac:dyDescent="0.25"/>
    <row r="40" s="143" customFormat="1" x14ac:dyDescent="0.25"/>
    <row r="41" s="143" customFormat="1" x14ac:dyDescent="0.25"/>
    <row r="42" s="143" customFormat="1" x14ac:dyDescent="0.25"/>
    <row r="43" s="143" customFormat="1" x14ac:dyDescent="0.25"/>
    <row r="44" s="143" customFormat="1" x14ac:dyDescent="0.25"/>
    <row r="45" s="143" customFormat="1" x14ac:dyDescent="0.25"/>
    <row r="46" s="143" customFormat="1" x14ac:dyDescent="0.25"/>
    <row r="47" s="143" customFormat="1" x14ac:dyDescent="0.25"/>
    <row r="48" s="143" customFormat="1" x14ac:dyDescent="0.25"/>
    <row r="49" s="143" customFormat="1" x14ac:dyDescent="0.25"/>
    <row r="50" s="143" customFormat="1" x14ac:dyDescent="0.25"/>
    <row r="51" s="143" customFormat="1" x14ac:dyDescent="0.25"/>
    <row r="52" s="143" customFormat="1" x14ac:dyDescent="0.25"/>
    <row r="53" s="143" customFormat="1" x14ac:dyDescent="0.25"/>
    <row r="54" s="143" customFormat="1" x14ac:dyDescent="0.25"/>
    <row r="55" s="143" customFormat="1" x14ac:dyDescent="0.25"/>
    <row r="56" s="143" customFormat="1" x14ac:dyDescent="0.25"/>
    <row r="57" s="143" customFormat="1" x14ac:dyDescent="0.25"/>
    <row r="58" s="143" customFormat="1" x14ac:dyDescent="0.25"/>
    <row r="59" s="143" customFormat="1" x14ac:dyDescent="0.25"/>
    <row r="60" s="143" customFormat="1" x14ac:dyDescent="0.25"/>
    <row r="61" s="143" customFormat="1" x14ac:dyDescent="0.25"/>
    <row r="62" s="143" customFormat="1" x14ac:dyDescent="0.25"/>
    <row r="63" s="143" customFormat="1" x14ac:dyDescent="0.25"/>
    <row r="64" s="143" customFormat="1" x14ac:dyDescent="0.25"/>
    <row r="65" s="143" customFormat="1" x14ac:dyDescent="0.25"/>
    <row r="66" s="143" customFormat="1" x14ac:dyDescent="0.25"/>
    <row r="67" s="143" customFormat="1" x14ac:dyDescent="0.25"/>
    <row r="68" s="143" customFormat="1" x14ac:dyDescent="0.25"/>
    <row r="69" s="143" customFormat="1" x14ac:dyDescent="0.25"/>
    <row r="70" s="143" customFormat="1" x14ac:dyDescent="0.25"/>
    <row r="71" s="143" customFormat="1" x14ac:dyDescent="0.25"/>
    <row r="72" s="143" customFormat="1" x14ac:dyDescent="0.25"/>
    <row r="73" s="143" customFormat="1" x14ac:dyDescent="0.25"/>
    <row r="74" s="143" customFormat="1" x14ac:dyDescent="0.25"/>
    <row r="75" s="143" customFormat="1" x14ac:dyDescent="0.25"/>
    <row r="76" s="143" customFormat="1" x14ac:dyDescent="0.25"/>
    <row r="77" s="143" customFormat="1" x14ac:dyDescent="0.25"/>
    <row r="78" s="143" customFormat="1" x14ac:dyDescent="0.25"/>
    <row r="79" s="143" customFormat="1" x14ac:dyDescent="0.25"/>
    <row r="80" s="143" customFormat="1" x14ac:dyDescent="0.25"/>
    <row r="81" s="143" customFormat="1" x14ac:dyDescent="0.25"/>
    <row r="82" s="143" customFormat="1" x14ac:dyDescent="0.25"/>
    <row r="83" s="143" customFormat="1" x14ac:dyDescent="0.25"/>
    <row r="84" s="143" customFormat="1" x14ac:dyDescent="0.25"/>
    <row r="85" s="143" customFormat="1" x14ac:dyDescent="0.25"/>
    <row r="86" s="143" customFormat="1" x14ac:dyDescent="0.25"/>
    <row r="87" s="143" customFormat="1" x14ac:dyDescent="0.25"/>
    <row r="88" s="143" customFormat="1" x14ac:dyDescent="0.25"/>
    <row r="89" s="143" customFormat="1" x14ac:dyDescent="0.25"/>
    <row r="90" s="143" customFormat="1" x14ac:dyDescent="0.25"/>
    <row r="91" s="143" customFormat="1" x14ac:dyDescent="0.25"/>
    <row r="92" s="143" customFormat="1" x14ac:dyDescent="0.25"/>
    <row r="93" s="143" customFormat="1" x14ac:dyDescent="0.25"/>
    <row r="94" s="143" customFormat="1" x14ac:dyDescent="0.25"/>
    <row r="95" s="143" customFormat="1" x14ac:dyDescent="0.25"/>
    <row r="96" s="143" customFormat="1" x14ac:dyDescent="0.25"/>
    <row r="97" s="143" customFormat="1" x14ac:dyDescent="0.25"/>
    <row r="98" s="143" customFormat="1" x14ac:dyDescent="0.25"/>
    <row r="99" s="143" customFormat="1" x14ac:dyDescent="0.25"/>
    <row r="100" s="143" customFormat="1" x14ac:dyDescent="0.25"/>
    <row r="101" s="143" customFormat="1" x14ac:dyDescent="0.25"/>
    <row r="102" s="143" customFormat="1" x14ac:dyDescent="0.25"/>
    <row r="103" s="143" customFormat="1" x14ac:dyDescent="0.25"/>
    <row r="104" s="143" customFormat="1" x14ac:dyDescent="0.25"/>
    <row r="105" s="143" customFormat="1" x14ac:dyDescent="0.25"/>
    <row r="106" s="143" customFormat="1" x14ac:dyDescent="0.25"/>
    <row r="107" s="143" customFormat="1" x14ac:dyDescent="0.25"/>
    <row r="108" s="143" customFormat="1" x14ac:dyDescent="0.25"/>
    <row r="109" s="143" customFormat="1" x14ac:dyDescent="0.25"/>
    <row r="110" s="143" customFormat="1" x14ac:dyDescent="0.25"/>
    <row r="111" s="143" customFormat="1" x14ac:dyDescent="0.25"/>
    <row r="112" s="143" customFormat="1" x14ac:dyDescent="0.25"/>
    <row r="113" s="143" customFormat="1" x14ac:dyDescent="0.25"/>
    <row r="114" s="143" customFormat="1" x14ac:dyDescent="0.25"/>
    <row r="115" s="143" customFormat="1" x14ac:dyDescent="0.25"/>
    <row r="116" s="143" customFormat="1" x14ac:dyDescent="0.25"/>
    <row r="117" s="143" customFormat="1" x14ac:dyDescent="0.25"/>
    <row r="118" s="143" customFormat="1" x14ac:dyDescent="0.25"/>
    <row r="119" s="143" customFormat="1" x14ac:dyDescent="0.25"/>
    <row r="120" s="143" customFormat="1" x14ac:dyDescent="0.25"/>
    <row r="121" s="143" customFormat="1" x14ac:dyDescent="0.25"/>
    <row r="122" s="143" customFormat="1" x14ac:dyDescent="0.25"/>
    <row r="123" s="143" customFormat="1" x14ac:dyDescent="0.25"/>
    <row r="124" s="143" customFormat="1" x14ac:dyDescent="0.25"/>
    <row r="125" s="143" customFormat="1" x14ac:dyDescent="0.25"/>
    <row r="126" s="143" customFormat="1" x14ac:dyDescent="0.25"/>
    <row r="127" s="143" customFormat="1" x14ac:dyDescent="0.25"/>
    <row r="128" s="143" customFormat="1" x14ac:dyDescent="0.25"/>
    <row r="129" s="143" customFormat="1" x14ac:dyDescent="0.25"/>
    <row r="130" s="143" customFormat="1" x14ac:dyDescent="0.25"/>
    <row r="131" s="143" customFormat="1" x14ac:dyDescent="0.25"/>
    <row r="132" s="143" customFormat="1" x14ac:dyDescent="0.25"/>
    <row r="133" s="143" customFormat="1" x14ac:dyDescent="0.25"/>
    <row r="134" s="143" customFormat="1" x14ac:dyDescent="0.25"/>
    <row r="135" s="143" customFormat="1" x14ac:dyDescent="0.25"/>
    <row r="136" s="143" customFormat="1" x14ac:dyDescent="0.25"/>
    <row r="137" s="143" customFormat="1" x14ac:dyDescent="0.25"/>
    <row r="138" s="143" customFormat="1" x14ac:dyDescent="0.25"/>
    <row r="139" s="143" customFormat="1" x14ac:dyDescent="0.25"/>
    <row r="140" s="143" customFormat="1" x14ac:dyDescent="0.25"/>
    <row r="141" s="143" customFormat="1" x14ac:dyDescent="0.25"/>
    <row r="142" s="143" customFormat="1" x14ac:dyDescent="0.25"/>
    <row r="143" s="143" customFormat="1" x14ac:dyDescent="0.25"/>
    <row r="144" s="143" customFormat="1" x14ac:dyDescent="0.25"/>
    <row r="145" s="143" customFormat="1" x14ac:dyDescent="0.25"/>
    <row r="146" s="143" customFormat="1" x14ac:dyDescent="0.25"/>
    <row r="147" s="143" customFormat="1" x14ac:dyDescent="0.25"/>
    <row r="148" s="143" customFormat="1" x14ac:dyDescent="0.25"/>
    <row r="149" s="143" customFormat="1" x14ac:dyDescent="0.25"/>
    <row r="150" s="143" customFormat="1" x14ac:dyDescent="0.25"/>
    <row r="151" s="143" customFormat="1" x14ac:dyDescent="0.25"/>
    <row r="152" s="143" customFormat="1" x14ac:dyDescent="0.25"/>
    <row r="153" s="143" customFormat="1" x14ac:dyDescent="0.25"/>
    <row r="154" s="143" customFormat="1" x14ac:dyDescent="0.25"/>
    <row r="155" s="143" customFormat="1" x14ac:dyDescent="0.25"/>
    <row r="156" s="143" customFormat="1" x14ac:dyDescent="0.25"/>
    <row r="157" s="143" customFormat="1" x14ac:dyDescent="0.25"/>
    <row r="158" s="143" customFormat="1" x14ac:dyDescent="0.25"/>
    <row r="159" s="143" customFormat="1" x14ac:dyDescent="0.25"/>
    <row r="160" s="143" customFormat="1" x14ac:dyDescent="0.25"/>
    <row r="161" s="143" customFormat="1" x14ac:dyDescent="0.25"/>
    <row r="162" s="143" customFormat="1" x14ac:dyDescent="0.25"/>
    <row r="163" s="143" customFormat="1" x14ac:dyDescent="0.25"/>
    <row r="164" s="143" customFormat="1" x14ac:dyDescent="0.25"/>
    <row r="165" s="143" customFormat="1" x14ac:dyDescent="0.25"/>
    <row r="166" s="143" customFormat="1" x14ac:dyDescent="0.25"/>
    <row r="167" s="143" customFormat="1" x14ac:dyDescent="0.25"/>
    <row r="168" s="143" customFormat="1" x14ac:dyDescent="0.25"/>
    <row r="169" s="143" customFormat="1" x14ac:dyDescent="0.25"/>
    <row r="170" s="143" customFormat="1" x14ac:dyDescent="0.25"/>
    <row r="171" s="143" customFormat="1" x14ac:dyDescent="0.25"/>
    <row r="172" s="143" customFormat="1" x14ac:dyDescent="0.25"/>
    <row r="173" s="143" customFormat="1" x14ac:dyDescent="0.25"/>
    <row r="174" s="143" customFormat="1" x14ac:dyDescent="0.25"/>
    <row r="175" s="143" customFormat="1" x14ac:dyDescent="0.25"/>
    <row r="176" s="143" customFormat="1" x14ac:dyDescent="0.25"/>
    <row r="177" s="143" customFormat="1" x14ac:dyDescent="0.25"/>
    <row r="178" s="143" customFormat="1" x14ac:dyDescent="0.25"/>
    <row r="179" s="143" customFormat="1" x14ac:dyDescent="0.25"/>
    <row r="180" s="143" customFormat="1" x14ac:dyDescent="0.25"/>
    <row r="181" s="143" customFormat="1" x14ac:dyDescent="0.25"/>
    <row r="182" s="143" customFormat="1" x14ac:dyDescent="0.25"/>
    <row r="183" s="143" customFormat="1" x14ac:dyDescent="0.25"/>
    <row r="184" s="143" customFormat="1" x14ac:dyDescent="0.25"/>
    <row r="185" s="143" customFormat="1" x14ac:dyDescent="0.25"/>
    <row r="186" s="143" customFormat="1" x14ac:dyDescent="0.25"/>
    <row r="187" s="143" customFormat="1" x14ac:dyDescent="0.25"/>
    <row r="188" s="143" customFormat="1" x14ac:dyDescent="0.25"/>
    <row r="189" s="143" customFormat="1" x14ac:dyDescent="0.25"/>
    <row r="190" s="143" customFormat="1" x14ac:dyDescent="0.25"/>
    <row r="191" s="143" customFormat="1" x14ac:dyDescent="0.25"/>
    <row r="192" s="143" customFormat="1" x14ac:dyDescent="0.25"/>
    <row r="193" s="143" customFormat="1" x14ac:dyDescent="0.25"/>
    <row r="194" s="143" customFormat="1" x14ac:dyDescent="0.25"/>
    <row r="195" s="143" customFormat="1" x14ac:dyDescent="0.25"/>
    <row r="196" s="143" customFormat="1" x14ac:dyDescent="0.25"/>
    <row r="197" s="143" customFormat="1" x14ac:dyDescent="0.25"/>
    <row r="198" s="143" customFormat="1" x14ac:dyDescent="0.25"/>
    <row r="199" s="143" customFormat="1" x14ac:dyDescent="0.25"/>
    <row r="200" s="143" customFormat="1" x14ac:dyDescent="0.25"/>
    <row r="201" s="143" customFormat="1" x14ac:dyDescent="0.25"/>
    <row r="202" s="143" customFormat="1" x14ac:dyDescent="0.25"/>
    <row r="203" s="143" customFormat="1" x14ac:dyDescent="0.25"/>
    <row r="204" s="143" customFormat="1" x14ac:dyDescent="0.25"/>
    <row r="205" s="143" customFormat="1" x14ac:dyDescent="0.25"/>
    <row r="206" s="143" customFormat="1" x14ac:dyDescent="0.25"/>
    <row r="207" s="143" customFormat="1" x14ac:dyDescent="0.25"/>
    <row r="208" s="143" customFormat="1" x14ac:dyDescent="0.25"/>
    <row r="209" s="143" customFormat="1" x14ac:dyDescent="0.25"/>
    <row r="210" s="143" customFormat="1" x14ac:dyDescent="0.25"/>
    <row r="211" s="143" customFormat="1" x14ac:dyDescent="0.25"/>
    <row r="212" s="143" customFormat="1" x14ac:dyDescent="0.25"/>
    <row r="213" s="143" customFormat="1" x14ac:dyDescent="0.25"/>
    <row r="214" s="143" customFormat="1" x14ac:dyDescent="0.25"/>
    <row r="215" s="143" customFormat="1" x14ac:dyDescent="0.25"/>
    <row r="216" s="143" customFormat="1" x14ac:dyDescent="0.25"/>
    <row r="217" s="143" customFormat="1" x14ac:dyDescent="0.25"/>
    <row r="218" s="143" customFormat="1" x14ac:dyDescent="0.25"/>
    <row r="219" s="143" customFormat="1" x14ac:dyDescent="0.25"/>
    <row r="220" s="143" customFormat="1" x14ac:dyDescent="0.25"/>
    <row r="221" s="143" customFormat="1" x14ac:dyDescent="0.25"/>
    <row r="222" s="143" customFormat="1" x14ac:dyDescent="0.25"/>
    <row r="223" s="143" customFormat="1" x14ac:dyDescent="0.25"/>
    <row r="224" s="143" customFormat="1" x14ac:dyDescent="0.25"/>
    <row r="225" s="143" customFormat="1" x14ac:dyDescent="0.25"/>
    <row r="226" s="143" customFormat="1" x14ac:dyDescent="0.25"/>
    <row r="227" s="143" customFormat="1" x14ac:dyDescent="0.25"/>
    <row r="228" s="143" customFormat="1" x14ac:dyDescent="0.25"/>
    <row r="229" s="143" customFormat="1" x14ac:dyDescent="0.25"/>
    <row r="230" s="143" customFormat="1" x14ac:dyDescent="0.25"/>
    <row r="231" s="143" customFormat="1" x14ac:dyDescent="0.25"/>
    <row r="232" s="143" customFormat="1" x14ac:dyDescent="0.25"/>
    <row r="233" s="143" customFormat="1" x14ac:dyDescent="0.25"/>
    <row r="234" s="143" customFormat="1" x14ac:dyDescent="0.25"/>
    <row r="235" s="143" customFormat="1" x14ac:dyDescent="0.25"/>
    <row r="236" s="143" customFormat="1" x14ac:dyDescent="0.25"/>
    <row r="237" s="143" customFormat="1" x14ac:dyDescent="0.25"/>
    <row r="238" s="143" customFormat="1" x14ac:dyDescent="0.25"/>
    <row r="239" s="143" customFormat="1" x14ac:dyDescent="0.25"/>
    <row r="240" s="143" customFormat="1" x14ac:dyDescent="0.25"/>
    <row r="241" s="143" customFormat="1" x14ac:dyDescent="0.25"/>
    <row r="242" s="143" customFormat="1" x14ac:dyDescent="0.25"/>
    <row r="243" s="143" customFormat="1" x14ac:dyDescent="0.25"/>
    <row r="244" s="143" customFormat="1" x14ac:dyDescent="0.25"/>
    <row r="245" s="143" customFormat="1" x14ac:dyDescent="0.25"/>
    <row r="246" s="143" customFormat="1" x14ac:dyDescent="0.25"/>
    <row r="247" s="143" customFormat="1" x14ac:dyDescent="0.25"/>
    <row r="248" s="143" customFormat="1" x14ac:dyDescent="0.25"/>
    <row r="249" s="143" customFormat="1" x14ac:dyDescent="0.25"/>
    <row r="250" s="143" customFormat="1" x14ac:dyDescent="0.25"/>
    <row r="251" s="143" customFormat="1" x14ac:dyDescent="0.25"/>
    <row r="252" s="143" customFormat="1" x14ac:dyDescent="0.25"/>
    <row r="253" s="143" customFormat="1" x14ac:dyDescent="0.25"/>
    <row r="254" s="143" customFormat="1" x14ac:dyDescent="0.25"/>
    <row r="255" s="143" customFormat="1" x14ac:dyDescent="0.25"/>
    <row r="256" s="143" customFormat="1" x14ac:dyDescent="0.25"/>
    <row r="257" s="143" customFormat="1" x14ac:dyDescent="0.25"/>
    <row r="258" s="143" customFormat="1" x14ac:dyDescent="0.25"/>
    <row r="259" s="143" customFormat="1" x14ac:dyDescent="0.25"/>
    <row r="260" s="143" customFormat="1" x14ac:dyDescent="0.25"/>
    <row r="261" s="143" customFormat="1" x14ac:dyDescent="0.25"/>
    <row r="262" s="143" customFormat="1" x14ac:dyDescent="0.25"/>
    <row r="263" s="143" customFormat="1" x14ac:dyDescent="0.25"/>
    <row r="264" s="143" customFormat="1" x14ac:dyDescent="0.25"/>
    <row r="265" s="143" customFormat="1" x14ac:dyDescent="0.25"/>
    <row r="266" s="143" customFormat="1" x14ac:dyDescent="0.25"/>
    <row r="267" s="143" customFormat="1" x14ac:dyDescent="0.25"/>
    <row r="268" s="143" customFormat="1" x14ac:dyDescent="0.25"/>
    <row r="269" s="143" customFormat="1" x14ac:dyDescent="0.25"/>
    <row r="270" s="143" customFormat="1" x14ac:dyDescent="0.25"/>
    <row r="271" s="143" customFormat="1" x14ac:dyDescent="0.25"/>
    <row r="272" s="143" customFormat="1" x14ac:dyDescent="0.25"/>
    <row r="273" s="143" customFormat="1" x14ac:dyDescent="0.25"/>
    <row r="274" s="143" customFormat="1" x14ac:dyDescent="0.25"/>
    <row r="275" s="143" customFormat="1" x14ac:dyDescent="0.25"/>
    <row r="276" s="143" customFormat="1" x14ac:dyDescent="0.25"/>
    <row r="277" s="143" customFormat="1" x14ac:dyDescent="0.25"/>
    <row r="278" s="143" customFormat="1" x14ac:dyDescent="0.25"/>
    <row r="279" s="143" customFormat="1" x14ac:dyDescent="0.25"/>
    <row r="280" s="143" customFormat="1" x14ac:dyDescent="0.25"/>
    <row r="281" s="143" customFormat="1" x14ac:dyDescent="0.25"/>
    <row r="282" s="143" customFormat="1" x14ac:dyDescent="0.25"/>
    <row r="283" s="143" customFormat="1" x14ac:dyDescent="0.25"/>
    <row r="284" s="143" customFormat="1" x14ac:dyDescent="0.25"/>
    <row r="285" s="143" customFormat="1" x14ac:dyDescent="0.25"/>
    <row r="286" s="143" customFormat="1" x14ac:dyDescent="0.25"/>
    <row r="287" s="143" customFormat="1" x14ac:dyDescent="0.25"/>
    <row r="288" s="143" customFormat="1" x14ac:dyDescent="0.25"/>
    <row r="289" s="143" customFormat="1" x14ac:dyDescent="0.25"/>
    <row r="290" s="143" customFormat="1" x14ac:dyDescent="0.25"/>
    <row r="291" s="143" customFormat="1" x14ac:dyDescent="0.25"/>
    <row r="292" s="143" customFormat="1" x14ac:dyDescent="0.25"/>
    <row r="293" s="143" customFormat="1" x14ac:dyDescent="0.25"/>
    <row r="294" s="143" customFormat="1" x14ac:dyDescent="0.25"/>
    <row r="295" s="143" customFormat="1" x14ac:dyDescent="0.25"/>
    <row r="296" s="143" customFormat="1" x14ac:dyDescent="0.25"/>
    <row r="297" s="143" customFormat="1" x14ac:dyDescent="0.25"/>
    <row r="298" s="143" customFormat="1" x14ac:dyDescent="0.25"/>
    <row r="299" s="143" customFormat="1" x14ac:dyDescent="0.25"/>
    <row r="300" s="143" customFormat="1" x14ac:dyDescent="0.25"/>
    <row r="301" s="143" customFormat="1" x14ac:dyDescent="0.25"/>
    <row r="302" s="143" customFormat="1" x14ac:dyDescent="0.25"/>
    <row r="303" s="143" customFormat="1" x14ac:dyDescent="0.25"/>
    <row r="304" s="143" customFormat="1" x14ac:dyDescent="0.25"/>
    <row r="305" s="143" customFormat="1" x14ac:dyDescent="0.25"/>
    <row r="306" s="143" customFormat="1" x14ac:dyDescent="0.25"/>
    <row r="307" s="143" customFormat="1" x14ac:dyDescent="0.25"/>
    <row r="308" s="143" customFormat="1" x14ac:dyDescent="0.25"/>
    <row r="309" s="143" customFormat="1" x14ac:dyDescent="0.25"/>
    <row r="310" s="143" customFormat="1" x14ac:dyDescent="0.25"/>
    <row r="311" s="143" customFormat="1" x14ac:dyDescent="0.25"/>
    <row r="312" s="143" customFormat="1" x14ac:dyDescent="0.25"/>
    <row r="313" s="143" customFormat="1" x14ac:dyDescent="0.25"/>
    <row r="314" s="143" customFormat="1" x14ac:dyDescent="0.25"/>
    <row r="315" s="143" customFormat="1" x14ac:dyDescent="0.25"/>
    <row r="316" s="143" customFormat="1" x14ac:dyDescent="0.25"/>
    <row r="317" s="143" customFormat="1" x14ac:dyDescent="0.25"/>
    <row r="318" s="143" customFormat="1" x14ac:dyDescent="0.25"/>
    <row r="319" s="143" customFormat="1" x14ac:dyDescent="0.25"/>
    <row r="320" s="143" customFormat="1" x14ac:dyDescent="0.25"/>
    <row r="321" s="143" customFormat="1" x14ac:dyDescent="0.25"/>
    <row r="322" s="143" customFormat="1" x14ac:dyDescent="0.25"/>
    <row r="323" s="143" customFormat="1" x14ac:dyDescent="0.25"/>
    <row r="324" s="143" customFormat="1" x14ac:dyDescent="0.25"/>
    <row r="325" s="143" customFormat="1" x14ac:dyDescent="0.25"/>
    <row r="326" s="143" customFormat="1" x14ac:dyDescent="0.25"/>
    <row r="327" s="143" customFormat="1" x14ac:dyDescent="0.25"/>
    <row r="328" s="143" customFormat="1" x14ac:dyDescent="0.25"/>
    <row r="329" s="143" customFormat="1" x14ac:dyDescent="0.25"/>
    <row r="330" s="143" customFormat="1" x14ac:dyDescent="0.25"/>
    <row r="331" s="143" customFormat="1" x14ac:dyDescent="0.25"/>
    <row r="332" s="143" customFormat="1" x14ac:dyDescent="0.25"/>
    <row r="333" s="143" customFormat="1" x14ac:dyDescent="0.25"/>
    <row r="334" s="143" customFormat="1" x14ac:dyDescent="0.25"/>
    <row r="335" s="143" customFormat="1" x14ac:dyDescent="0.25"/>
    <row r="336" s="143" customFormat="1" x14ac:dyDescent="0.25"/>
    <row r="337" s="143" customFormat="1" x14ac:dyDescent="0.25"/>
    <row r="338" s="143" customFormat="1" x14ac:dyDescent="0.25"/>
    <row r="339" s="143" customFormat="1" x14ac:dyDescent="0.25"/>
    <row r="340" s="143" customFormat="1" x14ac:dyDescent="0.25"/>
    <row r="341" s="143" customFormat="1" x14ac:dyDescent="0.25"/>
    <row r="342" s="143" customFormat="1" x14ac:dyDescent="0.25"/>
    <row r="343" s="143" customFormat="1" x14ac:dyDescent="0.25"/>
    <row r="344" s="143" customFormat="1" x14ac:dyDescent="0.25"/>
    <row r="345" s="143" customFormat="1" x14ac:dyDescent="0.25"/>
    <row r="346" s="143" customFormat="1" x14ac:dyDescent="0.25"/>
    <row r="347" s="143" customFormat="1" x14ac:dyDescent="0.25"/>
    <row r="348" s="143" customFormat="1" x14ac:dyDescent="0.25"/>
    <row r="349" s="143" customFormat="1" x14ac:dyDescent="0.25"/>
    <row r="350" s="143" customFormat="1" x14ac:dyDescent="0.25"/>
    <row r="351" s="143" customFormat="1" x14ac:dyDescent="0.25"/>
    <row r="352" s="143" customFormat="1" x14ac:dyDescent="0.25"/>
    <row r="353" s="143" customFormat="1" x14ac:dyDescent="0.25"/>
    <row r="354" s="143" customFormat="1" x14ac:dyDescent="0.25"/>
    <row r="355" s="143" customFormat="1" x14ac:dyDescent="0.25"/>
    <row r="356" s="143" customFormat="1" x14ac:dyDescent="0.25"/>
    <row r="357" s="143" customFormat="1" x14ac:dyDescent="0.25"/>
    <row r="358" s="143" customFormat="1" x14ac:dyDescent="0.25"/>
    <row r="359" s="143" customFormat="1" x14ac:dyDescent="0.25"/>
    <row r="360" s="143" customFormat="1" x14ac:dyDescent="0.25"/>
    <row r="361" s="143" customFormat="1" x14ac:dyDescent="0.25"/>
    <row r="362" s="143" customFormat="1" x14ac:dyDescent="0.25"/>
    <row r="363" s="143" customFormat="1" x14ac:dyDescent="0.25"/>
    <row r="364" s="143" customFormat="1" x14ac:dyDescent="0.25"/>
    <row r="365" s="143" customFormat="1" x14ac:dyDescent="0.25"/>
    <row r="366" s="143" customFormat="1" x14ac:dyDescent="0.25"/>
    <row r="367" s="143" customFormat="1" x14ac:dyDescent="0.25"/>
    <row r="368" s="143" customFormat="1" x14ac:dyDescent="0.25"/>
    <row r="369" s="143" customFormat="1" x14ac:dyDescent="0.25"/>
    <row r="370" s="143" customFormat="1" x14ac:dyDescent="0.25"/>
    <row r="371" s="143" customFormat="1" x14ac:dyDescent="0.25"/>
    <row r="372" s="143" customFormat="1" x14ac:dyDescent="0.25"/>
    <row r="373" s="143" customFormat="1" x14ac:dyDescent="0.25"/>
    <row r="374" s="143" customFormat="1" x14ac:dyDescent="0.25"/>
    <row r="375" s="143" customFormat="1" x14ac:dyDescent="0.25"/>
    <row r="376" s="143" customFormat="1" x14ac:dyDescent="0.25"/>
    <row r="377" s="143" customFormat="1" x14ac:dyDescent="0.25"/>
    <row r="378" s="143" customFormat="1" x14ac:dyDescent="0.25"/>
    <row r="379" s="143" customFormat="1" x14ac:dyDescent="0.25"/>
    <row r="380" s="143" customFormat="1" x14ac:dyDescent="0.25"/>
    <row r="381" s="143" customFormat="1" x14ac:dyDescent="0.25"/>
    <row r="382" s="143" customFormat="1" x14ac:dyDescent="0.25"/>
    <row r="383" s="143" customFormat="1" x14ac:dyDescent="0.25"/>
    <row r="384" s="143" customFormat="1" x14ac:dyDescent="0.25"/>
    <row r="385" s="143" customFormat="1" x14ac:dyDescent="0.25"/>
    <row r="386" s="143" customFormat="1" x14ac:dyDescent="0.25"/>
    <row r="387" s="143" customFormat="1" x14ac:dyDescent="0.25"/>
    <row r="388" s="143" customFormat="1" x14ac:dyDescent="0.25"/>
    <row r="389" s="143" customFormat="1" x14ac:dyDescent="0.25"/>
    <row r="390" s="143" customFormat="1" x14ac:dyDescent="0.25"/>
    <row r="391" s="143" customFormat="1" x14ac:dyDescent="0.25"/>
    <row r="392" s="143" customFormat="1" x14ac:dyDescent="0.25"/>
    <row r="393" s="143" customFormat="1" x14ac:dyDescent="0.25"/>
    <row r="394" s="143" customFormat="1" x14ac:dyDescent="0.25"/>
    <row r="395" s="143" customFormat="1" x14ac:dyDescent="0.25"/>
    <row r="396" s="143" customFormat="1" x14ac:dyDescent="0.25"/>
    <row r="397" s="143" customFormat="1" x14ac:dyDescent="0.25"/>
    <row r="398" s="143" customFormat="1" x14ac:dyDescent="0.25"/>
    <row r="399" s="143" customFormat="1" x14ac:dyDescent="0.25"/>
    <row r="400" s="143" customFormat="1" x14ac:dyDescent="0.25"/>
    <row r="401" s="143" customFormat="1" x14ac:dyDescent="0.25"/>
    <row r="402" s="143" customFormat="1" x14ac:dyDescent="0.25"/>
    <row r="403" s="143" customFormat="1" x14ac:dyDescent="0.25"/>
    <row r="404" s="143" customFormat="1" x14ac:dyDescent="0.25"/>
    <row r="405" s="143" customFormat="1" x14ac:dyDescent="0.25"/>
    <row r="406" s="143" customFormat="1" x14ac:dyDescent="0.25"/>
    <row r="407" s="143" customFormat="1" x14ac:dyDescent="0.25"/>
    <row r="408" s="143" customFormat="1" x14ac:dyDescent="0.25"/>
    <row r="409" s="143" customFormat="1" x14ac:dyDescent="0.25"/>
    <row r="410" s="143" customFormat="1" x14ac:dyDescent="0.25"/>
    <row r="411" s="143" customFormat="1" x14ac:dyDescent="0.25"/>
    <row r="412" s="143" customFormat="1" x14ac:dyDescent="0.25"/>
    <row r="413" s="143" customFormat="1" x14ac:dyDescent="0.25"/>
    <row r="414" s="143" customFormat="1" x14ac:dyDescent="0.25"/>
    <row r="415" s="143" customFormat="1" x14ac:dyDescent="0.25"/>
    <row r="416" s="143" customFormat="1" x14ac:dyDescent="0.25"/>
    <row r="417" s="143" customFormat="1" x14ac:dyDescent="0.25"/>
    <row r="418" s="143" customFormat="1" x14ac:dyDescent="0.25"/>
    <row r="419" s="143" customFormat="1" x14ac:dyDescent="0.25"/>
    <row r="420" s="143" customFormat="1" x14ac:dyDescent="0.25"/>
    <row r="421" s="143" customFormat="1" x14ac:dyDescent="0.25"/>
    <row r="422" s="143" customFormat="1" x14ac:dyDescent="0.25"/>
    <row r="423" s="143" customFormat="1" x14ac:dyDescent="0.25"/>
    <row r="424" s="143" customFormat="1" x14ac:dyDescent="0.25"/>
    <row r="425" s="143" customFormat="1" x14ac:dyDescent="0.25"/>
    <row r="426" s="143" customFormat="1" x14ac:dyDescent="0.25"/>
    <row r="427" s="143" customFormat="1" x14ac:dyDescent="0.25"/>
    <row r="428" s="143" customFormat="1" x14ac:dyDescent="0.25"/>
    <row r="429" s="143" customFormat="1" x14ac:dyDescent="0.25"/>
    <row r="430" s="143" customFormat="1" x14ac:dyDescent="0.25"/>
    <row r="431" s="143" customFormat="1" x14ac:dyDescent="0.25"/>
    <row r="432" s="143" customFormat="1" x14ac:dyDescent="0.25"/>
    <row r="433" s="143" customFormat="1" x14ac:dyDescent="0.25"/>
    <row r="434" s="143" customFormat="1" x14ac:dyDescent="0.25"/>
    <row r="435" s="143" customFormat="1" x14ac:dyDescent="0.25"/>
    <row r="436" s="143" customFormat="1" x14ac:dyDescent="0.25"/>
    <row r="437" s="143" customFormat="1" x14ac:dyDescent="0.25"/>
    <row r="438" s="143" customFormat="1" x14ac:dyDescent="0.25"/>
    <row r="439" s="143" customFormat="1" x14ac:dyDescent="0.25"/>
    <row r="440" s="143" customFormat="1" x14ac:dyDescent="0.25"/>
    <row r="441" s="143" customFormat="1" x14ac:dyDescent="0.25"/>
    <row r="442" s="143" customFormat="1" x14ac:dyDescent="0.25"/>
    <row r="443" s="143" customFormat="1" x14ac:dyDescent="0.25"/>
    <row r="444" s="143" customFormat="1" x14ac:dyDescent="0.25"/>
    <row r="445" s="143" customFormat="1" x14ac:dyDescent="0.25"/>
    <row r="446" s="143" customFormat="1" x14ac:dyDescent="0.25"/>
    <row r="447" s="143" customFormat="1" x14ac:dyDescent="0.25"/>
    <row r="448" s="143" customFormat="1" x14ac:dyDescent="0.25"/>
    <row r="449" s="143" customFormat="1" x14ac:dyDescent="0.25"/>
    <row r="450" s="143" customFormat="1" x14ac:dyDescent="0.25"/>
    <row r="451" s="143" customFormat="1" x14ac:dyDescent="0.25"/>
    <row r="452" s="143" customFormat="1" x14ac:dyDescent="0.25"/>
    <row r="453" s="143" customFormat="1" x14ac:dyDescent="0.25"/>
    <row r="454" s="143" customFormat="1" x14ac:dyDescent="0.25"/>
    <row r="455" s="143" customFormat="1" x14ac:dyDescent="0.25"/>
    <row r="456" s="143" customFormat="1" x14ac:dyDescent="0.25"/>
    <row r="457" s="143" customFormat="1" x14ac:dyDescent="0.25"/>
    <row r="458" s="143" customFormat="1" x14ac:dyDescent="0.25"/>
    <row r="459" s="143" customFormat="1" x14ac:dyDescent="0.25"/>
    <row r="460" s="143" customFormat="1" x14ac:dyDescent="0.25"/>
    <row r="461" s="143" customFormat="1" x14ac:dyDescent="0.25"/>
    <row r="462" s="143" customFormat="1" x14ac:dyDescent="0.25"/>
    <row r="463" s="143" customFormat="1" x14ac:dyDescent="0.25"/>
    <row r="464" s="143" customFormat="1" x14ac:dyDescent="0.25"/>
    <row r="465" s="143" customFormat="1" x14ac:dyDescent="0.25"/>
    <row r="466" s="143" customFormat="1" x14ac:dyDescent="0.25"/>
    <row r="467" s="143" customFormat="1" x14ac:dyDescent="0.25"/>
    <row r="468" s="143" customFormat="1" x14ac:dyDescent="0.25"/>
    <row r="469" s="143" customFormat="1" x14ac:dyDescent="0.25"/>
    <row r="470" s="143" customFormat="1" x14ac:dyDescent="0.25"/>
    <row r="471" s="143" customFormat="1" x14ac:dyDescent="0.25"/>
    <row r="472" s="143" customFormat="1" x14ac:dyDescent="0.25"/>
    <row r="473" s="143" customFormat="1" x14ac:dyDescent="0.25"/>
    <row r="474" s="143" customFormat="1" x14ac:dyDescent="0.25"/>
    <row r="475" s="143" customFormat="1" x14ac:dyDescent="0.25"/>
    <row r="476" s="143" customFormat="1" x14ac:dyDescent="0.25"/>
    <row r="477" s="143" customFormat="1" x14ac:dyDescent="0.25"/>
    <row r="478" s="143" customFormat="1" x14ac:dyDescent="0.25"/>
    <row r="479" s="143" customFormat="1" x14ac:dyDescent="0.25"/>
    <row r="480" s="143" customFormat="1" x14ac:dyDescent="0.25"/>
    <row r="481" s="143" customFormat="1" x14ac:dyDescent="0.25"/>
    <row r="482" s="143" customFormat="1" x14ac:dyDescent="0.25"/>
    <row r="483" s="143" customFormat="1" x14ac:dyDescent="0.25"/>
    <row r="484" s="143" customFormat="1" x14ac:dyDescent="0.25"/>
    <row r="485" s="143" customFormat="1" x14ac:dyDescent="0.25"/>
    <row r="486" s="143" customFormat="1" x14ac:dyDescent="0.25"/>
    <row r="487" s="143" customFormat="1" x14ac:dyDescent="0.25"/>
    <row r="488" s="143" customFormat="1" x14ac:dyDescent="0.25"/>
    <row r="489" s="143" customFormat="1" x14ac:dyDescent="0.25"/>
  </sheetData>
  <mergeCells count="5">
    <mergeCell ref="B2:N2"/>
    <mergeCell ref="B4:N5"/>
    <mergeCell ref="B6:B7"/>
    <mergeCell ref="F6:G6"/>
    <mergeCell ref="I6:L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NL470"/>
  <sheetViews>
    <sheetView topLeftCell="A3" zoomScale="60" zoomScaleNormal="60" workbookViewId="0">
      <selection activeCell="K19" sqref="K19"/>
    </sheetView>
  </sheetViews>
  <sheetFormatPr baseColWidth="10" defaultColWidth="11.5703125" defaultRowHeight="15.75" x14ac:dyDescent="0.25"/>
  <cols>
    <col min="1" max="1" width="5.7109375" style="146" customWidth="1"/>
    <col min="2" max="2" width="12.7109375" style="146" customWidth="1"/>
    <col min="3" max="6" width="13.7109375" style="146" customWidth="1"/>
    <col min="7" max="11" width="15.7109375" style="146" customWidth="1"/>
    <col min="12" max="12" width="20.7109375" style="146" customWidth="1"/>
    <col min="13" max="13" width="6.7109375" style="146" customWidth="1"/>
    <col min="14" max="15" width="20.7109375" style="146" customWidth="1"/>
    <col min="16" max="376" width="11.5703125" style="143"/>
    <col min="377" max="16384" width="11.5703125" style="146"/>
  </cols>
  <sheetData>
    <row r="1" spans="2:19" ht="15" customHeight="1" x14ac:dyDescent="0.25"/>
    <row r="2" spans="2:19" ht="49.9" customHeight="1" x14ac:dyDescent="0.25">
      <c r="B2" s="529" t="s">
        <v>62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90"/>
      <c r="N2" s="90"/>
      <c r="O2" s="90"/>
      <c r="P2" s="91"/>
      <c r="Q2" s="91"/>
      <c r="R2" s="91"/>
      <c r="S2" s="66"/>
    </row>
    <row r="3" spans="2:19" ht="30" customHeight="1" thickBot="1" x14ac:dyDescent="0.3"/>
    <row r="4" spans="2:19" ht="19.899999999999999" customHeight="1" x14ac:dyDescent="0.25">
      <c r="B4" s="644" t="s">
        <v>111</v>
      </c>
      <c r="C4" s="645"/>
      <c r="D4" s="645"/>
      <c r="E4" s="645"/>
      <c r="F4" s="645"/>
      <c r="G4" s="645"/>
      <c r="H4" s="645"/>
      <c r="I4" s="645"/>
      <c r="J4" s="645"/>
      <c r="K4" s="645"/>
      <c r="L4" s="646"/>
      <c r="M4" s="142"/>
      <c r="N4" s="142"/>
      <c r="O4" s="142"/>
    </row>
    <row r="5" spans="2:19" ht="19.899999999999999" customHeight="1" thickBot="1" x14ac:dyDescent="0.3">
      <c r="B5" s="647"/>
      <c r="C5" s="648"/>
      <c r="D5" s="648"/>
      <c r="E5" s="648"/>
      <c r="F5" s="648"/>
      <c r="G5" s="648"/>
      <c r="H5" s="648"/>
      <c r="I5" s="648"/>
      <c r="J5" s="648"/>
      <c r="K5" s="648"/>
      <c r="L5" s="649"/>
      <c r="M5" s="142"/>
      <c r="N5" s="142"/>
      <c r="O5" s="142"/>
    </row>
    <row r="6" spans="2:19" ht="19.899999999999999" customHeight="1" x14ac:dyDescent="0.25">
      <c r="B6" s="632" t="s">
        <v>29</v>
      </c>
      <c r="C6" s="372" t="s">
        <v>97</v>
      </c>
      <c r="D6" s="620" t="s">
        <v>101</v>
      </c>
      <c r="E6" s="620"/>
      <c r="F6" s="622"/>
      <c r="G6" s="478" t="s">
        <v>112</v>
      </c>
      <c r="H6" s="372" t="s">
        <v>98</v>
      </c>
      <c r="I6" s="372" t="s">
        <v>96</v>
      </c>
      <c r="J6" s="632" t="s">
        <v>113</v>
      </c>
      <c r="K6" s="632" t="s">
        <v>114</v>
      </c>
      <c r="L6" s="641" t="s">
        <v>115</v>
      </c>
      <c r="M6" s="144"/>
      <c r="N6" s="144"/>
      <c r="O6" s="144"/>
    </row>
    <row r="7" spans="2:19" ht="19.899999999999999" customHeight="1" thickBot="1" x14ac:dyDescent="0.3">
      <c r="B7" s="633"/>
      <c r="C7" s="374" t="s">
        <v>104</v>
      </c>
      <c r="D7" s="506" t="s">
        <v>107</v>
      </c>
      <c r="E7" s="506" t="s">
        <v>107</v>
      </c>
      <c r="F7" s="376" t="s">
        <v>104</v>
      </c>
      <c r="G7" s="437" t="s">
        <v>106</v>
      </c>
      <c r="H7" s="374" t="s">
        <v>105</v>
      </c>
      <c r="I7" s="374" t="s">
        <v>104</v>
      </c>
      <c r="J7" s="633"/>
      <c r="K7" s="633"/>
      <c r="L7" s="642"/>
      <c r="M7" s="144"/>
      <c r="N7" s="144"/>
      <c r="O7" s="144"/>
    </row>
    <row r="8" spans="2:19" ht="20.100000000000001" customHeight="1" x14ac:dyDescent="0.25">
      <c r="B8" s="158" t="s">
        <v>37</v>
      </c>
      <c r="C8" s="93">
        <f>'Hardy-Cross'!D8</f>
        <v>96.975099999999998</v>
      </c>
      <c r="D8" s="253">
        <f>'Hardy-Cross'!I8</f>
        <v>1</v>
      </c>
      <c r="E8" s="160">
        <f>'Hardy-Cross'!J8</f>
        <v>2</v>
      </c>
      <c r="F8" s="188">
        <f>'Hardy-Cross'!L8</f>
        <v>5.57E-2</v>
      </c>
      <c r="G8" s="200">
        <f>'Hardy-Cross'!G8</f>
        <v>2.1583333333333331E-4</v>
      </c>
      <c r="H8" s="201">
        <f>ABS((G8)/(0.2785*150*(F8^2.63)))^(1/0.54)</f>
        <v>2.0786584784713796E-4</v>
      </c>
      <c r="I8" s="189">
        <f>H8*C8</f>
        <v>2.0157811381560989E-2</v>
      </c>
      <c r="J8" s="200">
        <f>I8/G8</f>
        <v>93.395265088313465</v>
      </c>
      <c r="K8" s="202">
        <f>(-$I$19)/(1.85*$J$19)</f>
        <v>-2.1342750234396818E-4</v>
      </c>
      <c r="L8" s="509">
        <f>G8+$K$8</f>
        <v>2.40583098936513E-6</v>
      </c>
      <c r="M8" s="145"/>
      <c r="N8" s="510"/>
      <c r="O8" s="145"/>
    </row>
    <row r="9" spans="2:19" ht="20.100000000000001" customHeight="1" x14ac:dyDescent="0.25">
      <c r="B9" s="161" t="s">
        <v>38</v>
      </c>
      <c r="C9" s="94">
        <f>'Hardy-Cross'!D9</f>
        <v>86.260599999999997</v>
      </c>
      <c r="D9" s="254">
        <f>'Hardy-Cross'!I9</f>
        <v>1</v>
      </c>
      <c r="E9" s="163">
        <f>'Hardy-Cross'!J9</f>
        <v>2</v>
      </c>
      <c r="F9" s="191">
        <f>'Hardy-Cross'!L9</f>
        <v>5.57E-2</v>
      </c>
      <c r="G9" s="193">
        <f>'Hardy-Cross'!G9</f>
        <v>1.9914908142839037E-4</v>
      </c>
      <c r="H9" s="203">
        <f t="shared" ref="H9:H18" si="0">ABS((G9)/(0.2785*150*(F9^2.63)))^(1/0.54)</f>
        <v>1.7909317987038249E-4</v>
      </c>
      <c r="I9" s="192">
        <f t="shared" ref="I9:I18" si="1">H9*C9</f>
        <v>1.5448685151527116E-2</v>
      </c>
      <c r="J9" s="193">
        <f t="shared" ref="J9:J18" si="2">I9/G9</f>
        <v>77.573469286033955</v>
      </c>
      <c r="K9" s="192"/>
      <c r="L9" s="193">
        <f t="shared" ref="L9:L18" si="3">G9+$K$8</f>
        <v>-1.4278420915577811E-5</v>
      </c>
      <c r="M9" s="145"/>
      <c r="N9" s="510"/>
      <c r="O9" s="145"/>
    </row>
    <row r="10" spans="2:19" ht="20.100000000000001" customHeight="1" x14ac:dyDescent="0.25">
      <c r="B10" s="161" t="s">
        <v>39</v>
      </c>
      <c r="C10" s="94">
        <f>'Hardy-Cross'!D10</f>
        <v>111.3882</v>
      </c>
      <c r="D10" s="254">
        <f>'Hardy-Cross'!I10</f>
        <v>1</v>
      </c>
      <c r="E10" s="163">
        <f>'Hardy-Cross'!J10</f>
        <v>2</v>
      </c>
      <c r="F10" s="191">
        <f>'Hardy-Cross'!L10</f>
        <v>5.57E-2</v>
      </c>
      <c r="G10" s="193">
        <f>'Hardy-Cross'!G10</f>
        <v>1.8430822454995954E-4</v>
      </c>
      <c r="H10" s="203">
        <f t="shared" si="0"/>
        <v>1.5516530446984774E-4</v>
      </c>
      <c r="I10" s="192">
        <f t="shared" si="1"/>
        <v>1.7283583967348293E-2</v>
      </c>
      <c r="J10" s="193">
        <f t="shared" si="2"/>
        <v>93.775435195857554</v>
      </c>
      <c r="K10" s="192"/>
      <c r="L10" s="193">
        <f t="shared" si="3"/>
        <v>-2.9119277794008639E-5</v>
      </c>
      <c r="M10" s="145"/>
      <c r="N10" s="510"/>
      <c r="O10" s="145"/>
    </row>
    <row r="11" spans="2:19" ht="20.100000000000001" customHeight="1" x14ac:dyDescent="0.25">
      <c r="B11" s="161" t="s">
        <v>64</v>
      </c>
      <c r="C11" s="94">
        <f>'Hardy-Cross'!D11</f>
        <v>94.485900000000001</v>
      </c>
      <c r="D11" s="254">
        <f>'Hardy-Cross'!I11</f>
        <v>1</v>
      </c>
      <c r="E11" s="163">
        <f>'Hardy-Cross'!J11</f>
        <v>2</v>
      </c>
      <c r="F11" s="191">
        <f>'Hardy-Cross'!L11</f>
        <v>5.57E-2</v>
      </c>
      <c r="G11" s="193">
        <f>'Hardy-Cross'!G11</f>
        <v>1.6514424546627555E-4</v>
      </c>
      <c r="H11" s="203">
        <f t="shared" si="0"/>
        <v>1.2661815148467374E-4</v>
      </c>
      <c r="I11" s="192">
        <f t="shared" si="1"/>
        <v>1.1963629999365734E-2</v>
      </c>
      <c r="J11" s="193">
        <f t="shared" si="2"/>
        <v>72.443517275380032</v>
      </c>
      <c r="K11" s="192"/>
      <c r="L11" s="193">
        <f t="shared" si="3"/>
        <v>-4.8283256877692632E-5</v>
      </c>
      <c r="M11" s="145"/>
      <c r="N11" s="510"/>
      <c r="O11" s="145"/>
    </row>
    <row r="12" spans="2:19" ht="20.100000000000001" customHeight="1" x14ac:dyDescent="0.25">
      <c r="B12" s="161" t="s">
        <v>65</v>
      </c>
      <c r="C12" s="94">
        <f>'Hardy-Cross'!D12</f>
        <v>75.623900000000006</v>
      </c>
      <c r="D12" s="254">
        <f>'Hardy-Cross'!I12</f>
        <v>1</v>
      </c>
      <c r="E12" s="163">
        <f>'Hardy-Cross'!J12</f>
        <v>2</v>
      </c>
      <c r="F12" s="191">
        <f>'Hardy-Cross'!L12</f>
        <v>5.57E-2</v>
      </c>
      <c r="G12" s="193">
        <f>'Hardy-Cross'!G12</f>
        <v>1.4888825236015606E-4</v>
      </c>
      <c r="H12" s="203">
        <f t="shared" si="0"/>
        <v>1.0450980952542187E-4</v>
      </c>
      <c r="I12" s="192">
        <f t="shared" si="1"/>
        <v>7.9034393845695515E-3</v>
      </c>
      <c r="J12" s="193">
        <f t="shared" si="2"/>
        <v>53.08302877685324</v>
      </c>
      <c r="K12" s="192"/>
      <c r="L12" s="193">
        <f t="shared" si="3"/>
        <v>-6.453924998381212E-5</v>
      </c>
      <c r="M12" s="145"/>
      <c r="N12" s="510"/>
      <c r="O12" s="145"/>
    </row>
    <row r="13" spans="2:19" ht="20.100000000000001" customHeight="1" x14ac:dyDescent="0.25">
      <c r="B13" s="161" t="s">
        <v>61</v>
      </c>
      <c r="C13" s="94">
        <f>'Hardy-Cross'!D13</f>
        <v>33.049199999999999</v>
      </c>
      <c r="D13" s="254">
        <f>'Hardy-Cross'!I13</f>
        <v>1</v>
      </c>
      <c r="E13" s="163">
        <f>'Hardy-Cross'!J13</f>
        <v>2</v>
      </c>
      <c r="F13" s="191">
        <f>'Hardy-Cross'!L13</f>
        <v>5.57E-2</v>
      </c>
      <c r="G13" s="193">
        <f>'Hardy-Cross'!G13</f>
        <v>1.3587740527018955E-4</v>
      </c>
      <c r="H13" s="203">
        <f t="shared" si="0"/>
        <v>8.8229560687980092E-5</v>
      </c>
      <c r="I13" s="192">
        <f t="shared" si="1"/>
        <v>2.9159163970891916E-3</v>
      </c>
      <c r="J13" s="193">
        <f t="shared" si="2"/>
        <v>21.459906386134982</v>
      </c>
      <c r="K13" s="192"/>
      <c r="L13" s="193">
        <f t="shared" si="3"/>
        <v>-7.7550097073778636E-5</v>
      </c>
      <c r="M13" s="145"/>
      <c r="N13" s="510"/>
      <c r="O13" s="145"/>
    </row>
    <row r="14" spans="2:19" ht="20.100000000000001" customHeight="1" x14ac:dyDescent="0.25">
      <c r="B14" s="161" t="s">
        <v>143</v>
      </c>
      <c r="C14" s="94">
        <f>'Hardy-Cross'!D14</f>
        <v>26.0762</v>
      </c>
      <c r="D14" s="254">
        <f>'Hardy-Cross'!I14</f>
        <v>1</v>
      </c>
      <c r="E14" s="163">
        <f>'Hardy-Cross'!J14</f>
        <v>2</v>
      </c>
      <c r="F14" s="191">
        <f>'Hardy-Cross'!L14</f>
        <v>5.57E-2</v>
      </c>
      <c r="G14" s="193">
        <f>'Hardy-Cross'!G14</f>
        <v>1.3019139743872723E-4</v>
      </c>
      <c r="H14" s="203">
        <f t="shared" si="0"/>
        <v>8.1514443517796619E-5</v>
      </c>
      <c r="I14" s="192">
        <f t="shared" si="1"/>
        <v>2.1255869320587683E-3</v>
      </c>
      <c r="J14" s="193">
        <f t="shared" si="2"/>
        <v>16.326631205100522</v>
      </c>
      <c r="K14" s="192"/>
      <c r="L14" s="193">
        <f t="shared" si="3"/>
        <v>-8.3236104905240948E-5</v>
      </c>
      <c r="M14" s="145"/>
      <c r="N14" s="510"/>
      <c r="O14" s="145"/>
    </row>
    <row r="15" spans="2:19" ht="20.100000000000001" customHeight="1" x14ac:dyDescent="0.25">
      <c r="B15" s="161" t="s">
        <v>141</v>
      </c>
      <c r="C15" s="94">
        <f>'Hardy-Cross'!D15</f>
        <v>17.547599999999999</v>
      </c>
      <c r="D15" s="254">
        <f>'Hardy-Cross'!I15</f>
        <v>1</v>
      </c>
      <c r="E15" s="163">
        <f>'Hardy-Cross'!J15</f>
        <v>2</v>
      </c>
      <c r="F15" s="191">
        <f>'Hardy-Cross'!L15</f>
        <v>5.57E-2</v>
      </c>
      <c r="G15" s="193">
        <f>-'Hardy-Cross'!G15</f>
        <v>-2.1583333333333331E-4</v>
      </c>
      <c r="H15" s="203">
        <f t="shared" si="0"/>
        <v>2.0786584784713796E-4</v>
      </c>
      <c r="I15" s="192">
        <f t="shared" si="1"/>
        <v>3.6475467516824379E-3</v>
      </c>
      <c r="J15" s="193">
        <f t="shared" si="2"/>
        <v>-16.899830509725582</v>
      </c>
      <c r="K15" s="192"/>
      <c r="L15" s="193">
        <f t="shared" si="3"/>
        <v>-4.2926083567730149E-4</v>
      </c>
      <c r="M15" s="145"/>
      <c r="N15" s="510"/>
      <c r="O15" s="145"/>
    </row>
    <row r="16" spans="2:19" ht="20.100000000000001" customHeight="1" x14ac:dyDescent="0.25">
      <c r="B16" s="161" t="s">
        <v>85</v>
      </c>
      <c r="C16" s="94">
        <f>'Hardy-Cross'!D16</f>
        <v>95.631299999999982</v>
      </c>
      <c r="D16" s="254">
        <f>'Hardy-Cross'!I16</f>
        <v>1</v>
      </c>
      <c r="E16" s="163">
        <f>'Hardy-Cross'!J16</f>
        <v>2</v>
      </c>
      <c r="F16" s="191">
        <f>'Hardy-Cross'!L16</f>
        <v>5.57E-2</v>
      </c>
      <c r="G16" s="193">
        <f>-'Hardy-Cross'!G16</f>
        <v>-2.1281432558054752E-4</v>
      </c>
      <c r="H16" s="203">
        <f t="shared" si="0"/>
        <v>2.0251357623039481E-4</v>
      </c>
      <c r="I16" s="192">
        <f t="shared" si="1"/>
        <v>1.936663656256175E-2</v>
      </c>
      <c r="J16" s="193">
        <f t="shared" si="2"/>
        <v>-91.002504223954247</v>
      </c>
      <c r="K16" s="192"/>
      <c r="L16" s="193">
        <f t="shared" si="3"/>
        <v>-4.2624182792451568E-4</v>
      </c>
      <c r="M16" s="145"/>
      <c r="N16" s="510"/>
      <c r="O16" s="145"/>
    </row>
    <row r="17" spans="1:15" ht="20.100000000000001" customHeight="1" x14ac:dyDescent="0.25">
      <c r="B17" s="161" t="s">
        <v>86</v>
      </c>
      <c r="C17" s="94">
        <f>'Hardy-Cross'!D17</f>
        <v>4.4747000000000003</v>
      </c>
      <c r="D17" s="254">
        <f>'Hardy-Cross'!I17</f>
        <v>1</v>
      </c>
      <c r="E17" s="163">
        <f>'Hardy-Cross'!J17</f>
        <v>2</v>
      </c>
      <c r="F17" s="191">
        <f>'Hardy-Cross'!L17</f>
        <v>5.57E-2</v>
      </c>
      <c r="G17" s="193">
        <f>-'Hardy-Cross'!G17</f>
        <v>-1.9636127011376102E-4</v>
      </c>
      <c r="H17" s="203">
        <f t="shared" si="0"/>
        <v>1.744781834082892E-4</v>
      </c>
      <c r="I17" s="192">
        <f t="shared" si="1"/>
        <v>7.8073752729707177E-4</v>
      </c>
      <c r="J17" s="193">
        <f t="shared" si="2"/>
        <v>-3.9760260607641977</v>
      </c>
      <c r="K17" s="192"/>
      <c r="L17" s="193">
        <f t="shared" si="3"/>
        <v>-4.097887724577292E-4</v>
      </c>
      <c r="M17" s="145"/>
      <c r="N17" s="510"/>
      <c r="O17" s="145"/>
    </row>
    <row r="18" spans="1:15" ht="20.100000000000001" customHeight="1" thickBot="1" x14ac:dyDescent="0.3">
      <c r="B18" s="206" t="s">
        <v>142</v>
      </c>
      <c r="C18" s="95">
        <f>'Hardy-Cross'!D18</f>
        <v>44.459099999999999</v>
      </c>
      <c r="D18" s="292">
        <f>'Hardy-Cross'!I18</f>
        <v>1</v>
      </c>
      <c r="E18" s="293">
        <f>'Hardy-Cross'!J18</f>
        <v>2</v>
      </c>
      <c r="F18" s="294">
        <f>'Hardy-Cross'!L18</f>
        <v>5.57E-2</v>
      </c>
      <c r="G18" s="197">
        <f>-'Hardy-Cross'!G18</f>
        <v>-1.9559141246990142E-4</v>
      </c>
      <c r="H18" s="298">
        <f t="shared" si="0"/>
        <v>1.7321351697302325E-4</v>
      </c>
      <c r="I18" s="295">
        <f t="shared" si="1"/>
        <v>7.7009170724553376E-3</v>
      </c>
      <c r="J18" s="296">
        <f t="shared" si="2"/>
        <v>-39.372470269574812</v>
      </c>
      <c r="K18" s="196"/>
      <c r="L18" s="197">
        <f t="shared" si="3"/>
        <v>-4.090189148138696E-4</v>
      </c>
      <c r="M18" s="145"/>
      <c r="N18" s="510"/>
      <c r="O18" s="145"/>
    </row>
    <row r="19" spans="1:15" ht="45" customHeight="1" thickBot="1" x14ac:dyDescent="0.3">
      <c r="B19" s="623" t="s">
        <v>55</v>
      </c>
      <c r="C19" s="643"/>
      <c r="D19" s="643"/>
      <c r="E19" s="643"/>
      <c r="F19" s="643"/>
      <c r="G19" s="643"/>
      <c r="H19" s="625"/>
      <c r="I19" s="297">
        <f>SUM(I8:I18)</f>
        <v>0.10929449112751623</v>
      </c>
      <c r="J19" s="297">
        <f>SUM(J8:J18)</f>
        <v>276.80642214965496</v>
      </c>
      <c r="K19" s="198"/>
      <c r="L19" s="145"/>
      <c r="M19" s="145"/>
      <c r="N19" s="145"/>
      <c r="O19" s="145"/>
    </row>
    <row r="20" spans="1:15" ht="30" customHeight="1" thickBot="1" x14ac:dyDescent="0.3">
      <c r="B20" s="199"/>
      <c r="C20" s="199"/>
      <c r="D20" s="199"/>
      <c r="E20" s="199"/>
      <c r="F20" s="199"/>
      <c r="G20" s="199"/>
      <c r="H20" s="199"/>
      <c r="I20" s="33"/>
      <c r="J20" s="33"/>
      <c r="K20" s="198"/>
      <c r="L20" s="267"/>
      <c r="M20" s="145"/>
      <c r="N20" s="145"/>
      <c r="O20" s="145"/>
    </row>
    <row r="21" spans="1:15" s="143" customFormat="1" ht="20.100000000000001" customHeight="1" x14ac:dyDescent="0.25">
      <c r="A21" s="269"/>
      <c r="B21" s="626" t="s">
        <v>111</v>
      </c>
      <c r="C21" s="627"/>
      <c r="D21" s="627"/>
      <c r="E21" s="627"/>
      <c r="F21" s="627"/>
      <c r="G21" s="627"/>
      <c r="H21" s="627"/>
      <c r="I21" s="627"/>
      <c r="J21" s="627"/>
      <c r="K21" s="627"/>
      <c r="L21" s="628"/>
      <c r="M21" s="146"/>
      <c r="N21" s="146"/>
      <c r="O21" s="146"/>
    </row>
    <row r="22" spans="1:15" s="143" customFormat="1" ht="20.100000000000001" customHeight="1" thickBot="1" x14ac:dyDescent="0.3">
      <c r="A22" s="269"/>
      <c r="B22" s="629"/>
      <c r="C22" s="630"/>
      <c r="D22" s="630"/>
      <c r="E22" s="630"/>
      <c r="F22" s="630"/>
      <c r="G22" s="630"/>
      <c r="H22" s="630"/>
      <c r="I22" s="630"/>
      <c r="J22" s="630"/>
      <c r="K22" s="630"/>
      <c r="L22" s="631"/>
      <c r="M22" s="146"/>
      <c r="N22" s="146"/>
      <c r="O22" s="146"/>
    </row>
    <row r="23" spans="1:15" s="143" customFormat="1" ht="20.100000000000001" customHeight="1" x14ac:dyDescent="0.25">
      <c r="A23" s="269"/>
      <c r="B23" s="632" t="s">
        <v>29</v>
      </c>
      <c r="C23" s="372" t="s">
        <v>97</v>
      </c>
      <c r="D23" s="620" t="s">
        <v>101</v>
      </c>
      <c r="E23" s="620"/>
      <c r="F23" s="622"/>
      <c r="G23" s="478" t="s">
        <v>112</v>
      </c>
      <c r="H23" s="372" t="s">
        <v>98</v>
      </c>
      <c r="I23" s="372" t="s">
        <v>96</v>
      </c>
      <c r="J23" s="632" t="s">
        <v>113</v>
      </c>
      <c r="K23" s="632" t="s">
        <v>114</v>
      </c>
      <c r="L23" s="641" t="s">
        <v>115</v>
      </c>
      <c r="M23" s="146"/>
      <c r="N23" s="146"/>
      <c r="O23" s="146"/>
    </row>
    <row r="24" spans="1:15" s="143" customFormat="1" ht="20.100000000000001" customHeight="1" thickBot="1" x14ac:dyDescent="0.3">
      <c r="A24" s="269"/>
      <c r="B24" s="633"/>
      <c r="C24" s="374" t="s">
        <v>104</v>
      </c>
      <c r="D24" s="506" t="s">
        <v>107</v>
      </c>
      <c r="E24" s="506" t="s">
        <v>107</v>
      </c>
      <c r="F24" s="376" t="s">
        <v>104</v>
      </c>
      <c r="G24" s="437" t="s">
        <v>106</v>
      </c>
      <c r="H24" s="374" t="s">
        <v>105</v>
      </c>
      <c r="I24" s="374" t="s">
        <v>104</v>
      </c>
      <c r="J24" s="633"/>
      <c r="K24" s="633"/>
      <c r="L24" s="650"/>
      <c r="M24" s="146"/>
      <c r="N24" s="146"/>
      <c r="O24" s="146"/>
    </row>
    <row r="25" spans="1:15" s="143" customFormat="1" ht="20.100000000000001" customHeight="1" x14ac:dyDescent="0.25">
      <c r="A25" s="269"/>
      <c r="B25" s="158" t="s">
        <v>37</v>
      </c>
      <c r="C25" s="169">
        <f>C8</f>
        <v>96.975099999999998</v>
      </c>
      <c r="D25" s="159">
        <f>D8</f>
        <v>1</v>
      </c>
      <c r="E25" s="160">
        <f>E8</f>
        <v>2</v>
      </c>
      <c r="F25" s="188">
        <f>F8</f>
        <v>5.57E-2</v>
      </c>
      <c r="G25" s="200">
        <f>ABS(L8)</f>
        <v>2.40583098936513E-6</v>
      </c>
      <c r="H25" s="201">
        <f>ABS((G25)/(0.2785*150*(F25^2.63)))^(1/0.54)</f>
        <v>5.0279152620147415E-8</v>
      </c>
      <c r="I25" s="189">
        <f>H25*C25</f>
        <v>4.8758258532540578E-6</v>
      </c>
      <c r="J25" s="200">
        <f>I25/G25</f>
        <v>2.026670150483318</v>
      </c>
      <c r="K25" s="190">
        <f>(-I36)/(1.85*J36)</f>
        <v>-1.7266135005603752E-4</v>
      </c>
      <c r="L25" s="200">
        <f>G25+$K$25</f>
        <v>-1.7025551906667239E-4</v>
      </c>
      <c r="M25" s="146"/>
      <c r="N25" s="146"/>
      <c r="O25" s="146"/>
    </row>
    <row r="26" spans="1:15" s="143" customFormat="1" ht="20.100000000000001" customHeight="1" x14ac:dyDescent="0.25">
      <c r="A26" s="269"/>
      <c r="B26" s="161" t="s">
        <v>38</v>
      </c>
      <c r="C26" s="170">
        <f t="shared" ref="C26:F35" si="4">C9</f>
        <v>86.260599999999997</v>
      </c>
      <c r="D26" s="164">
        <f t="shared" si="4"/>
        <v>1</v>
      </c>
      <c r="E26" s="163">
        <f t="shared" si="4"/>
        <v>2</v>
      </c>
      <c r="F26" s="191">
        <f t="shared" si="4"/>
        <v>5.57E-2</v>
      </c>
      <c r="G26" s="193">
        <f t="shared" ref="G26:G35" si="5">ABS(L9)</f>
        <v>1.4278420915577811E-5</v>
      </c>
      <c r="H26" s="203">
        <f t="shared" ref="H26:H35" si="6">ABS((G26)/(0.2785*150*(F26^2.63)))^(1/0.54)</f>
        <v>1.3603105661059474E-6</v>
      </c>
      <c r="I26" s="192">
        <f t="shared" ref="I26:I35" si="7">H26*C26</f>
        <v>1.1734120561863868E-4</v>
      </c>
      <c r="J26" s="193">
        <f t="shared" ref="J26:J35" si="8">I26/G26</f>
        <v>8.2180800182616114</v>
      </c>
      <c r="K26" s="193"/>
      <c r="L26" s="299">
        <f t="shared" ref="L26:L35" si="9">G26+$K$25</f>
        <v>-1.5838292914045971E-4</v>
      </c>
      <c r="M26" s="146"/>
      <c r="N26" s="146"/>
      <c r="O26" s="146"/>
    </row>
    <row r="27" spans="1:15" s="143" customFormat="1" ht="20.100000000000001" customHeight="1" x14ac:dyDescent="0.25">
      <c r="A27" s="269"/>
      <c r="B27" s="161" t="s">
        <v>39</v>
      </c>
      <c r="C27" s="170">
        <f t="shared" si="4"/>
        <v>111.3882</v>
      </c>
      <c r="D27" s="164">
        <f t="shared" si="4"/>
        <v>1</v>
      </c>
      <c r="E27" s="163">
        <f t="shared" si="4"/>
        <v>2</v>
      </c>
      <c r="F27" s="191">
        <f t="shared" si="4"/>
        <v>5.57E-2</v>
      </c>
      <c r="G27" s="193">
        <f t="shared" si="5"/>
        <v>2.9119277794008639E-5</v>
      </c>
      <c r="H27" s="203">
        <f t="shared" si="6"/>
        <v>5.0908112563490121E-6</v>
      </c>
      <c r="I27" s="192">
        <f t="shared" si="7"/>
        <v>5.6705630238445507E-4</v>
      </c>
      <c r="J27" s="193">
        <f t="shared" si="8"/>
        <v>19.473570271757506</v>
      </c>
      <c r="K27" s="193"/>
      <c r="L27" s="299">
        <f t="shared" si="9"/>
        <v>-1.4354207226202888E-4</v>
      </c>
      <c r="M27" s="146"/>
      <c r="N27" s="146"/>
      <c r="O27" s="146"/>
    </row>
    <row r="28" spans="1:15" s="143" customFormat="1" ht="20.100000000000001" customHeight="1" x14ac:dyDescent="0.25">
      <c r="A28" s="269"/>
      <c r="B28" s="161" t="s">
        <v>64</v>
      </c>
      <c r="C28" s="170">
        <f t="shared" si="4"/>
        <v>94.485900000000001</v>
      </c>
      <c r="D28" s="164">
        <f t="shared" si="4"/>
        <v>1</v>
      </c>
      <c r="E28" s="163">
        <f t="shared" si="4"/>
        <v>2</v>
      </c>
      <c r="F28" s="191">
        <f t="shared" si="4"/>
        <v>5.57E-2</v>
      </c>
      <c r="G28" s="193">
        <f t="shared" si="5"/>
        <v>4.8283256877692632E-5</v>
      </c>
      <c r="H28" s="203">
        <f t="shared" si="6"/>
        <v>1.2986233678055507E-5</v>
      </c>
      <c r="I28" s="192">
        <f t="shared" si="7"/>
        <v>1.2270159766813848E-3</v>
      </c>
      <c r="J28" s="193">
        <f t="shared" si="8"/>
        <v>25.412866820263712</v>
      </c>
      <c r="K28" s="193"/>
      <c r="L28" s="299">
        <f t="shared" si="9"/>
        <v>-1.2437809317834489E-4</v>
      </c>
      <c r="M28" s="146"/>
      <c r="N28" s="146"/>
      <c r="O28" s="146"/>
    </row>
    <row r="29" spans="1:15" s="143" customFormat="1" ht="20.100000000000001" customHeight="1" x14ac:dyDescent="0.25">
      <c r="A29" s="269"/>
      <c r="B29" s="161" t="s">
        <v>65</v>
      </c>
      <c r="C29" s="170">
        <f t="shared" si="4"/>
        <v>75.623900000000006</v>
      </c>
      <c r="D29" s="164">
        <f t="shared" si="4"/>
        <v>1</v>
      </c>
      <c r="E29" s="163">
        <f t="shared" si="4"/>
        <v>2</v>
      </c>
      <c r="F29" s="191">
        <f t="shared" si="4"/>
        <v>5.57E-2</v>
      </c>
      <c r="G29" s="193">
        <f t="shared" si="5"/>
        <v>6.453924998381212E-5</v>
      </c>
      <c r="H29" s="203">
        <f t="shared" si="6"/>
        <v>2.2226301838391961E-5</v>
      </c>
      <c r="I29" s="192">
        <f t="shared" si="7"/>
        <v>1.68083962759637E-3</v>
      </c>
      <c r="J29" s="193">
        <f t="shared" si="8"/>
        <v>26.043680830160902</v>
      </c>
      <c r="K29" s="193"/>
      <c r="L29" s="299">
        <f t="shared" si="9"/>
        <v>-1.081221000722254E-4</v>
      </c>
      <c r="M29" s="146"/>
      <c r="N29" s="146"/>
      <c r="O29" s="146"/>
    </row>
    <row r="30" spans="1:15" s="143" customFormat="1" ht="20.100000000000001" customHeight="1" x14ac:dyDescent="0.25">
      <c r="A30" s="269"/>
      <c r="B30" s="161" t="s">
        <v>61</v>
      </c>
      <c r="C30" s="170">
        <f t="shared" si="4"/>
        <v>33.049199999999999</v>
      </c>
      <c r="D30" s="164">
        <f t="shared" si="4"/>
        <v>1</v>
      </c>
      <c r="E30" s="163">
        <f t="shared" si="4"/>
        <v>2</v>
      </c>
      <c r="F30" s="191">
        <f t="shared" si="4"/>
        <v>5.57E-2</v>
      </c>
      <c r="G30" s="193">
        <f t="shared" si="5"/>
        <v>7.7550097073778636E-5</v>
      </c>
      <c r="H30" s="203">
        <f t="shared" si="6"/>
        <v>3.122971401682667E-5</v>
      </c>
      <c r="I30" s="192">
        <f t="shared" si="7"/>
        <v>1.032117064484908E-3</v>
      </c>
      <c r="J30" s="193">
        <f t="shared" si="8"/>
        <v>13.309036396214765</v>
      </c>
      <c r="K30" s="193"/>
      <c r="L30" s="299">
        <f t="shared" si="9"/>
        <v>-9.5111252982258885E-5</v>
      </c>
      <c r="M30" s="146"/>
      <c r="N30" s="146"/>
      <c r="O30" s="146"/>
    </row>
    <row r="31" spans="1:15" s="143" customFormat="1" ht="20.100000000000001" customHeight="1" x14ac:dyDescent="0.25">
      <c r="A31" s="269"/>
      <c r="B31" s="161" t="s">
        <v>143</v>
      </c>
      <c r="C31" s="170">
        <f t="shared" si="4"/>
        <v>26.0762</v>
      </c>
      <c r="D31" s="164">
        <f t="shared" si="4"/>
        <v>1</v>
      </c>
      <c r="E31" s="163">
        <f t="shared" si="4"/>
        <v>2</v>
      </c>
      <c r="F31" s="191">
        <f t="shared" si="4"/>
        <v>5.57E-2</v>
      </c>
      <c r="G31" s="193">
        <f t="shared" si="5"/>
        <v>8.3236104905240948E-5</v>
      </c>
      <c r="H31" s="203">
        <f t="shared" si="6"/>
        <v>3.560199290323334E-5</v>
      </c>
      <c r="I31" s="192">
        <f t="shared" si="7"/>
        <v>9.2836468734329317E-4</v>
      </c>
      <c r="J31" s="193">
        <f t="shared" si="8"/>
        <v>11.153389366311384</v>
      </c>
      <c r="K31" s="193"/>
      <c r="L31" s="299">
        <f t="shared" si="9"/>
        <v>-8.9425245150796573E-5</v>
      </c>
      <c r="M31" s="146"/>
      <c r="N31" s="146"/>
      <c r="O31" s="146"/>
    </row>
    <row r="32" spans="1:15" s="143" customFormat="1" ht="20.100000000000001" customHeight="1" x14ac:dyDescent="0.25">
      <c r="A32" s="269"/>
      <c r="B32" s="161" t="s">
        <v>141</v>
      </c>
      <c r="C32" s="170">
        <f t="shared" si="4"/>
        <v>17.547599999999999</v>
      </c>
      <c r="D32" s="164">
        <f t="shared" si="4"/>
        <v>1</v>
      </c>
      <c r="E32" s="163">
        <f t="shared" si="4"/>
        <v>2</v>
      </c>
      <c r="F32" s="191">
        <f t="shared" si="4"/>
        <v>5.57E-2</v>
      </c>
      <c r="G32" s="193">
        <f t="shared" si="5"/>
        <v>4.2926083567730149E-4</v>
      </c>
      <c r="H32" s="203">
        <f t="shared" si="6"/>
        <v>7.4259358663136539E-4</v>
      </c>
      <c r="I32" s="192">
        <f t="shared" si="7"/>
        <v>1.3030735220772546E-2</v>
      </c>
      <c r="J32" s="193">
        <f t="shared" si="8"/>
        <v>30.356217333948564</v>
      </c>
      <c r="K32" s="193"/>
      <c r="L32" s="299">
        <f t="shared" si="9"/>
        <v>2.5659948562126395E-4</v>
      </c>
      <c r="M32" s="146"/>
      <c r="N32" s="146"/>
      <c r="O32" s="146"/>
    </row>
    <row r="33" spans="1:15" s="143" customFormat="1" ht="20.100000000000001" customHeight="1" x14ac:dyDescent="0.25">
      <c r="A33" s="269"/>
      <c r="B33" s="161" t="s">
        <v>85</v>
      </c>
      <c r="C33" s="170">
        <f t="shared" si="4"/>
        <v>95.631299999999982</v>
      </c>
      <c r="D33" s="164">
        <f t="shared" si="4"/>
        <v>1</v>
      </c>
      <c r="E33" s="163">
        <f t="shared" si="4"/>
        <v>2</v>
      </c>
      <c r="F33" s="191">
        <f t="shared" si="4"/>
        <v>5.57E-2</v>
      </c>
      <c r="G33" s="193">
        <f t="shared" si="5"/>
        <v>4.2624182792451568E-4</v>
      </c>
      <c r="H33" s="203">
        <f t="shared" si="6"/>
        <v>7.3295092256130329E-4</v>
      </c>
      <c r="I33" s="192">
        <f t="shared" si="7"/>
        <v>7.0093049560736753E-2</v>
      </c>
      <c r="J33" s="193">
        <f t="shared" si="8"/>
        <v>164.44432472063656</v>
      </c>
      <c r="K33" s="193"/>
      <c r="L33" s="299">
        <f t="shared" si="9"/>
        <v>2.5358047786847818E-4</v>
      </c>
      <c r="M33" s="146"/>
      <c r="N33" s="146"/>
      <c r="O33" s="146"/>
    </row>
    <row r="34" spans="1:15" s="143" customFormat="1" ht="20.100000000000001" customHeight="1" x14ac:dyDescent="0.25">
      <c r="A34" s="269"/>
      <c r="B34" s="161" t="s">
        <v>86</v>
      </c>
      <c r="C34" s="170">
        <f t="shared" si="4"/>
        <v>4.4747000000000003</v>
      </c>
      <c r="D34" s="164">
        <f t="shared" si="4"/>
        <v>1</v>
      </c>
      <c r="E34" s="163">
        <f t="shared" si="4"/>
        <v>2</v>
      </c>
      <c r="F34" s="191">
        <f t="shared" si="4"/>
        <v>5.57E-2</v>
      </c>
      <c r="G34" s="193">
        <f t="shared" si="5"/>
        <v>4.097887724577292E-4</v>
      </c>
      <c r="H34" s="203">
        <f t="shared" si="6"/>
        <v>6.8142116301818443E-4</v>
      </c>
      <c r="I34" s="192">
        <f t="shared" si="7"/>
        <v>3.0491552781574702E-3</v>
      </c>
      <c r="J34" s="193">
        <f t="shared" si="8"/>
        <v>7.4407975110445435</v>
      </c>
      <c r="K34" s="193"/>
      <c r="L34" s="299">
        <f t="shared" si="9"/>
        <v>2.3712742240169168E-4</v>
      </c>
      <c r="M34" s="146"/>
      <c r="N34" s="146"/>
      <c r="O34" s="146"/>
    </row>
    <row r="35" spans="1:15" s="143" customFormat="1" ht="20.100000000000001" customHeight="1" thickBot="1" x14ac:dyDescent="0.3">
      <c r="A35" s="269"/>
      <c r="B35" s="206" t="s">
        <v>142</v>
      </c>
      <c r="C35" s="194">
        <f t="shared" si="4"/>
        <v>44.459099999999999</v>
      </c>
      <c r="D35" s="174">
        <f t="shared" si="4"/>
        <v>1</v>
      </c>
      <c r="E35" s="165">
        <f t="shared" si="4"/>
        <v>2</v>
      </c>
      <c r="F35" s="195">
        <f t="shared" si="4"/>
        <v>5.57E-2</v>
      </c>
      <c r="G35" s="197">
        <f t="shared" si="5"/>
        <v>4.090189148138696E-4</v>
      </c>
      <c r="H35" s="298">
        <f t="shared" si="6"/>
        <v>6.7905238400875457E-4</v>
      </c>
      <c r="I35" s="295">
        <f t="shared" si="7"/>
        <v>3.0190057845883619E-2</v>
      </c>
      <c r="J35" s="296">
        <f t="shared" si="8"/>
        <v>73.810908866212387</v>
      </c>
      <c r="K35" s="197"/>
      <c r="L35" s="302">
        <f t="shared" si="9"/>
        <v>2.3635756475783208E-4</v>
      </c>
      <c r="M35" s="146"/>
      <c r="N35" s="146"/>
      <c r="O35" s="146"/>
    </row>
    <row r="36" spans="1:15" s="143" customFormat="1" ht="45" customHeight="1" thickBot="1" x14ac:dyDescent="0.3">
      <c r="A36" s="269"/>
      <c r="B36" s="623" t="s">
        <v>55</v>
      </c>
      <c r="C36" s="624"/>
      <c r="D36" s="624"/>
      <c r="E36" s="624"/>
      <c r="F36" s="624"/>
      <c r="G36" s="624"/>
      <c r="H36" s="625"/>
      <c r="I36" s="297">
        <f>SUM(I25:I35)</f>
        <v>0.12192060859551269</v>
      </c>
      <c r="J36" s="297">
        <f>SUM(J25:J35)</f>
        <v>381.68954228529526</v>
      </c>
      <c r="K36" s="198"/>
      <c r="L36" s="267"/>
      <c r="M36" s="146"/>
      <c r="N36" s="146"/>
      <c r="O36" s="146"/>
    </row>
    <row r="37" spans="1:15" s="143" customFormat="1" ht="30" customHeight="1" thickBot="1" x14ac:dyDescent="0.3">
      <c r="A37" s="269"/>
      <c r="B37" s="199"/>
      <c r="C37" s="199"/>
      <c r="D37" s="199"/>
      <c r="E37" s="199"/>
      <c r="F37" s="199"/>
      <c r="G37" s="199"/>
      <c r="H37" s="199"/>
      <c r="I37" s="33"/>
      <c r="J37" s="33"/>
      <c r="K37" s="198"/>
      <c r="L37" s="267"/>
      <c r="M37" s="146"/>
      <c r="N37" s="146"/>
      <c r="O37" s="146"/>
    </row>
    <row r="38" spans="1:15" s="143" customFormat="1" ht="20.100000000000001" customHeight="1" x14ac:dyDescent="0.25">
      <c r="A38" s="269"/>
      <c r="B38" s="626" t="s">
        <v>111</v>
      </c>
      <c r="C38" s="627"/>
      <c r="D38" s="627"/>
      <c r="E38" s="627"/>
      <c r="F38" s="627"/>
      <c r="G38" s="627"/>
      <c r="H38" s="627"/>
      <c r="I38" s="627"/>
      <c r="J38" s="627"/>
      <c r="K38" s="627"/>
      <c r="L38" s="628"/>
      <c r="M38" s="146"/>
      <c r="N38" s="146"/>
      <c r="O38" s="146"/>
    </row>
    <row r="39" spans="1:15" s="143" customFormat="1" ht="20.100000000000001" customHeight="1" thickBot="1" x14ac:dyDescent="0.3">
      <c r="A39" s="269"/>
      <c r="B39" s="629"/>
      <c r="C39" s="630"/>
      <c r="D39" s="630"/>
      <c r="E39" s="630"/>
      <c r="F39" s="630"/>
      <c r="G39" s="630"/>
      <c r="H39" s="630"/>
      <c r="I39" s="630"/>
      <c r="J39" s="630"/>
      <c r="K39" s="630"/>
      <c r="L39" s="631"/>
      <c r="M39" s="146"/>
      <c r="N39" s="146"/>
      <c r="O39" s="146"/>
    </row>
    <row r="40" spans="1:15" s="143" customFormat="1" ht="20.100000000000001" customHeight="1" x14ac:dyDescent="0.25">
      <c r="A40" s="269"/>
      <c r="B40" s="634" t="s">
        <v>29</v>
      </c>
      <c r="C40" s="154" t="s">
        <v>97</v>
      </c>
      <c r="D40" s="636" t="s">
        <v>101</v>
      </c>
      <c r="E40" s="636"/>
      <c r="F40" s="637"/>
      <c r="G40" s="270" t="s">
        <v>112</v>
      </c>
      <c r="H40" s="154" t="s">
        <v>98</v>
      </c>
      <c r="I40" s="154" t="s">
        <v>96</v>
      </c>
      <c r="J40" s="634" t="s">
        <v>113</v>
      </c>
      <c r="K40" s="634" t="s">
        <v>114</v>
      </c>
      <c r="L40" s="638" t="s">
        <v>115</v>
      </c>
      <c r="M40" s="146"/>
      <c r="N40" s="146"/>
      <c r="O40" s="146"/>
    </row>
    <row r="41" spans="1:15" s="143" customFormat="1" ht="20.100000000000001" customHeight="1" thickBot="1" x14ac:dyDescent="0.3">
      <c r="A41" s="269"/>
      <c r="B41" s="635"/>
      <c r="C41" s="155" t="s">
        <v>104</v>
      </c>
      <c r="D41" s="157" t="s">
        <v>107</v>
      </c>
      <c r="E41" s="157" t="s">
        <v>107</v>
      </c>
      <c r="F41" s="156" t="s">
        <v>104</v>
      </c>
      <c r="G41" s="187" t="s">
        <v>106</v>
      </c>
      <c r="H41" s="155" t="s">
        <v>105</v>
      </c>
      <c r="I41" s="155" t="s">
        <v>104</v>
      </c>
      <c r="J41" s="635"/>
      <c r="K41" s="635"/>
      <c r="L41" s="639"/>
      <c r="M41" s="146"/>
      <c r="N41" s="146"/>
      <c r="O41" s="146"/>
    </row>
    <row r="42" spans="1:15" s="143" customFormat="1" ht="20.100000000000001" customHeight="1" x14ac:dyDescent="0.25">
      <c r="A42" s="269"/>
      <c r="B42" s="158" t="s">
        <v>37</v>
      </c>
      <c r="C42" s="169">
        <f>C25</f>
        <v>96.975099999999998</v>
      </c>
      <c r="D42" s="159">
        <f>D25</f>
        <v>1</v>
      </c>
      <c r="E42" s="160">
        <f>E25</f>
        <v>2</v>
      </c>
      <c r="F42" s="188">
        <f>F25</f>
        <v>5.57E-2</v>
      </c>
      <c r="G42" s="200">
        <f>ABS(L25)</f>
        <v>1.7025551906667239E-4</v>
      </c>
      <c r="H42" s="201">
        <f>ABS((G42)/(0.2785*150*(F42^2.63)))^(1/0.54)</f>
        <v>1.3397085472069672E-4</v>
      </c>
      <c r="I42" s="189">
        <f>H42*C42</f>
        <v>1.2991837033625036E-2</v>
      </c>
      <c r="J42" s="200">
        <f>I42/G42</f>
        <v>76.307875978677714</v>
      </c>
      <c r="K42" s="202">
        <f>(-I53)/(1.85*J53)</f>
        <v>-9.6015142952846617E-5</v>
      </c>
      <c r="L42" s="200">
        <f>G42+$K$42</f>
        <v>7.4240376113825774E-5</v>
      </c>
      <c r="M42" s="146"/>
      <c r="N42" s="146"/>
      <c r="O42" s="146"/>
    </row>
    <row r="43" spans="1:15" s="143" customFormat="1" ht="20.100000000000001" customHeight="1" x14ac:dyDescent="0.25">
      <c r="A43" s="269"/>
      <c r="B43" s="161" t="s">
        <v>38</v>
      </c>
      <c r="C43" s="170">
        <f t="shared" ref="C43:F43" si="10">C26</f>
        <v>86.260599999999997</v>
      </c>
      <c r="D43" s="164">
        <f t="shared" si="10"/>
        <v>1</v>
      </c>
      <c r="E43" s="163">
        <f t="shared" si="10"/>
        <v>2</v>
      </c>
      <c r="F43" s="191">
        <f t="shared" si="10"/>
        <v>5.57E-2</v>
      </c>
      <c r="G43" s="193">
        <f t="shared" ref="G43:G52" si="11">ABS(L26)</f>
        <v>1.5838292914045971E-4</v>
      </c>
      <c r="H43" s="203">
        <f t="shared" ref="H43:H52" si="12">ABS((G43)/(0.2785*150*(F43^2.63)))^(1/0.54)</f>
        <v>1.1718592718272931E-4</v>
      </c>
      <c r="I43" s="192">
        <f t="shared" ref="I43:I52" si="13">H43*C43</f>
        <v>1.010852839033854E-2</v>
      </c>
      <c r="J43" s="193">
        <f t="shared" ref="J43:J52" si="14">I43/G43</f>
        <v>63.823345389539618</v>
      </c>
      <c r="K43" s="192"/>
      <c r="L43" s="193">
        <f t="shared" ref="L43:L52" si="15">G43+$K$42</f>
        <v>6.2367786187613093E-5</v>
      </c>
      <c r="M43" s="146"/>
      <c r="N43" s="146"/>
      <c r="O43" s="146"/>
    </row>
    <row r="44" spans="1:15" s="143" customFormat="1" ht="20.100000000000001" customHeight="1" x14ac:dyDescent="0.25">
      <c r="A44" s="269"/>
      <c r="B44" s="161" t="s">
        <v>39</v>
      </c>
      <c r="C44" s="170">
        <f t="shared" ref="C44:F44" si="16">C27</f>
        <v>111.3882</v>
      </c>
      <c r="D44" s="164">
        <f t="shared" si="16"/>
        <v>1</v>
      </c>
      <c r="E44" s="163">
        <f t="shared" si="16"/>
        <v>2</v>
      </c>
      <c r="F44" s="191">
        <f t="shared" si="16"/>
        <v>5.57E-2</v>
      </c>
      <c r="G44" s="193">
        <f t="shared" si="11"/>
        <v>1.4354207226202888E-4</v>
      </c>
      <c r="H44" s="203">
        <f t="shared" si="12"/>
        <v>9.7666896704318257E-5</v>
      </c>
      <c r="I44" s="192">
        <f t="shared" si="13"/>
        <v>1.0878939823479943E-2</v>
      </c>
      <c r="J44" s="193">
        <f t="shared" si="14"/>
        <v>75.789206969375371</v>
      </c>
      <c r="K44" s="192"/>
      <c r="L44" s="193">
        <f t="shared" si="15"/>
        <v>4.7526929309182265E-5</v>
      </c>
      <c r="M44" s="146"/>
      <c r="N44" s="146"/>
      <c r="O44" s="146"/>
    </row>
    <row r="45" spans="1:15" s="143" customFormat="1" ht="20.100000000000001" customHeight="1" x14ac:dyDescent="0.25">
      <c r="A45" s="269"/>
      <c r="B45" s="161" t="s">
        <v>64</v>
      </c>
      <c r="C45" s="170">
        <f t="shared" ref="C45:F45" si="17">C28</f>
        <v>94.485900000000001</v>
      </c>
      <c r="D45" s="164">
        <f t="shared" si="17"/>
        <v>1</v>
      </c>
      <c r="E45" s="163">
        <f t="shared" si="17"/>
        <v>2</v>
      </c>
      <c r="F45" s="191">
        <f t="shared" si="17"/>
        <v>5.57E-2</v>
      </c>
      <c r="G45" s="193">
        <f t="shared" si="11"/>
        <v>1.2437809317834489E-4</v>
      </c>
      <c r="H45" s="203">
        <f t="shared" si="12"/>
        <v>7.4902584123178994E-5</v>
      </c>
      <c r="I45" s="192">
        <f t="shared" si="13"/>
        <v>7.0772380732042782E-3</v>
      </c>
      <c r="J45" s="193">
        <f t="shared" si="14"/>
        <v>56.901001553836942</v>
      </c>
      <c r="K45" s="192"/>
      <c r="L45" s="193">
        <f t="shared" si="15"/>
        <v>2.8362950225498273E-5</v>
      </c>
      <c r="M45" s="145"/>
      <c r="N45" s="145"/>
      <c r="O45" s="145"/>
    </row>
    <row r="46" spans="1:15" s="143" customFormat="1" ht="20.100000000000001" customHeight="1" x14ac:dyDescent="0.25">
      <c r="A46" s="269"/>
      <c r="B46" s="161" t="s">
        <v>65</v>
      </c>
      <c r="C46" s="170">
        <f t="shared" ref="C46:F46" si="18">C29</f>
        <v>75.623900000000006</v>
      </c>
      <c r="D46" s="164">
        <f t="shared" si="18"/>
        <v>1</v>
      </c>
      <c r="E46" s="163">
        <f t="shared" si="18"/>
        <v>2</v>
      </c>
      <c r="F46" s="191">
        <f t="shared" si="18"/>
        <v>5.57E-2</v>
      </c>
      <c r="G46" s="193">
        <f t="shared" si="11"/>
        <v>1.081221000722254E-4</v>
      </c>
      <c r="H46" s="203">
        <f t="shared" si="12"/>
        <v>5.7789604644622292E-5</v>
      </c>
      <c r="I46" s="192">
        <f t="shared" si="13"/>
        <v>4.3702752826844521E-3</v>
      </c>
      <c r="J46" s="193">
        <f t="shared" si="14"/>
        <v>40.419815003270514</v>
      </c>
      <c r="K46" s="192"/>
      <c r="L46" s="193">
        <f t="shared" si="15"/>
        <v>1.2106957119378784E-5</v>
      </c>
      <c r="M46" s="146"/>
      <c r="N46" s="146"/>
      <c r="O46" s="146"/>
    </row>
    <row r="47" spans="1:15" s="143" customFormat="1" ht="20.100000000000001" customHeight="1" x14ac:dyDescent="0.25">
      <c r="A47" s="269"/>
      <c r="B47" s="161" t="s">
        <v>61</v>
      </c>
      <c r="C47" s="170">
        <f t="shared" ref="C47:F47" si="19">C30</f>
        <v>33.049199999999999</v>
      </c>
      <c r="D47" s="164">
        <f t="shared" si="19"/>
        <v>1</v>
      </c>
      <c r="E47" s="163">
        <f t="shared" si="19"/>
        <v>2</v>
      </c>
      <c r="F47" s="191">
        <f t="shared" si="19"/>
        <v>5.57E-2</v>
      </c>
      <c r="G47" s="193">
        <f t="shared" si="11"/>
        <v>9.5111252982258885E-5</v>
      </c>
      <c r="H47" s="203">
        <f t="shared" si="12"/>
        <v>4.5575753131320149E-5</v>
      </c>
      <c r="I47" s="192">
        <f t="shared" si="13"/>
        <v>1.5062421803876259E-3</v>
      </c>
      <c r="J47" s="193">
        <f t="shared" si="14"/>
        <v>15.836634816161927</v>
      </c>
      <c r="K47" s="192"/>
      <c r="L47" s="193">
        <f t="shared" si="15"/>
        <v>-9.0388997058773221E-7</v>
      </c>
      <c r="M47" s="146"/>
      <c r="N47" s="146"/>
      <c r="O47" s="146"/>
    </row>
    <row r="48" spans="1:15" s="143" customFormat="1" ht="20.100000000000001" customHeight="1" x14ac:dyDescent="0.25">
      <c r="A48" s="269"/>
      <c r="B48" s="161" t="s">
        <v>143</v>
      </c>
      <c r="C48" s="170">
        <f t="shared" ref="C48:F48" si="20">C31</f>
        <v>26.0762</v>
      </c>
      <c r="D48" s="164">
        <f t="shared" si="20"/>
        <v>1</v>
      </c>
      <c r="E48" s="163">
        <f t="shared" si="20"/>
        <v>2</v>
      </c>
      <c r="F48" s="191">
        <f t="shared" si="20"/>
        <v>5.57E-2</v>
      </c>
      <c r="G48" s="193">
        <f t="shared" si="11"/>
        <v>8.9425245150796573E-5</v>
      </c>
      <c r="H48" s="203">
        <f t="shared" si="12"/>
        <v>4.065898323179135E-5</v>
      </c>
      <c r="I48" s="192">
        <f t="shared" si="13"/>
        <v>1.0602317785488376E-3</v>
      </c>
      <c r="J48" s="193">
        <f t="shared" si="14"/>
        <v>11.856067900747526</v>
      </c>
      <c r="K48" s="192"/>
      <c r="L48" s="193">
        <f t="shared" si="15"/>
        <v>-6.5898978020500441E-6</v>
      </c>
      <c r="M48" s="146"/>
      <c r="N48" s="146"/>
      <c r="O48" s="146"/>
    </row>
    <row r="49" spans="1:15" s="143" customFormat="1" ht="20.100000000000001" customHeight="1" x14ac:dyDescent="0.25">
      <c r="A49" s="269"/>
      <c r="B49" s="161" t="s">
        <v>141</v>
      </c>
      <c r="C49" s="170">
        <f t="shared" ref="C49:F49" si="21">C32</f>
        <v>17.547599999999999</v>
      </c>
      <c r="D49" s="164">
        <f t="shared" si="21"/>
        <v>1</v>
      </c>
      <c r="E49" s="163">
        <f t="shared" si="21"/>
        <v>2</v>
      </c>
      <c r="F49" s="191">
        <f t="shared" si="21"/>
        <v>5.57E-2</v>
      </c>
      <c r="G49" s="193">
        <f t="shared" si="11"/>
        <v>2.5659948562126395E-4</v>
      </c>
      <c r="H49" s="203">
        <f t="shared" si="12"/>
        <v>2.8636914406853414E-4</v>
      </c>
      <c r="I49" s="192">
        <f t="shared" si="13"/>
        <v>5.0250911924570093E-3</v>
      </c>
      <c r="J49" s="193">
        <f t="shared" si="14"/>
        <v>19.583403218017164</v>
      </c>
      <c r="K49" s="192"/>
      <c r="L49" s="193">
        <f t="shared" si="15"/>
        <v>1.6058434266841732E-4</v>
      </c>
      <c r="M49" s="146"/>
      <c r="N49" s="146"/>
      <c r="O49" s="146"/>
    </row>
    <row r="50" spans="1:15" s="143" customFormat="1" ht="20.100000000000001" customHeight="1" x14ac:dyDescent="0.25">
      <c r="A50" s="269"/>
      <c r="B50" s="161" t="s">
        <v>85</v>
      </c>
      <c r="C50" s="170">
        <f t="shared" ref="C50:F50" si="22">C33</f>
        <v>95.631299999999982</v>
      </c>
      <c r="D50" s="164">
        <f t="shared" si="22"/>
        <v>1</v>
      </c>
      <c r="E50" s="163">
        <f t="shared" si="22"/>
        <v>2</v>
      </c>
      <c r="F50" s="191">
        <f t="shared" si="22"/>
        <v>5.57E-2</v>
      </c>
      <c r="G50" s="193">
        <f t="shared" si="11"/>
        <v>2.5358047786847818E-4</v>
      </c>
      <c r="H50" s="203">
        <f t="shared" si="12"/>
        <v>2.8016105668218013E-4</v>
      </c>
      <c r="I50" s="192">
        <f t="shared" si="13"/>
        <v>2.6792166059890567E-2</v>
      </c>
      <c r="J50" s="193">
        <f t="shared" si="14"/>
        <v>105.65547586745447</v>
      </c>
      <c r="K50" s="192"/>
      <c r="L50" s="193">
        <f t="shared" si="15"/>
        <v>1.5756533491563155E-4</v>
      </c>
      <c r="M50" s="146"/>
      <c r="N50" s="146"/>
      <c r="O50" s="146"/>
    </row>
    <row r="51" spans="1:15" s="143" customFormat="1" ht="20.100000000000001" customHeight="1" x14ac:dyDescent="0.25">
      <c r="A51" s="269"/>
      <c r="B51" s="161" t="s">
        <v>86</v>
      </c>
      <c r="C51" s="170">
        <f t="shared" ref="C51:F51" si="23">C34</f>
        <v>4.4747000000000003</v>
      </c>
      <c r="D51" s="164">
        <f t="shared" si="23"/>
        <v>1</v>
      </c>
      <c r="E51" s="163">
        <f t="shared" si="23"/>
        <v>2</v>
      </c>
      <c r="F51" s="191">
        <f t="shared" si="23"/>
        <v>5.57E-2</v>
      </c>
      <c r="G51" s="193">
        <f t="shared" si="11"/>
        <v>2.3712742240169168E-4</v>
      </c>
      <c r="H51" s="203">
        <f t="shared" si="12"/>
        <v>2.4743199074392223E-4</v>
      </c>
      <c r="I51" s="192">
        <f t="shared" si="13"/>
        <v>1.1071839289818288E-3</v>
      </c>
      <c r="J51" s="193">
        <f t="shared" si="14"/>
        <v>4.669151790914631</v>
      </c>
      <c r="K51" s="192"/>
      <c r="L51" s="193">
        <f t="shared" si="15"/>
        <v>1.4111227944884507E-4</v>
      </c>
      <c r="M51" s="146"/>
      <c r="N51" s="146"/>
      <c r="O51" s="146"/>
    </row>
    <row r="52" spans="1:15" s="143" customFormat="1" ht="20.100000000000001" customHeight="1" thickBot="1" x14ac:dyDescent="0.3">
      <c r="A52" s="269"/>
      <c r="B52" s="206" t="s">
        <v>142</v>
      </c>
      <c r="C52" s="194">
        <f t="shared" ref="C52:F52" si="24">C35</f>
        <v>44.459099999999999</v>
      </c>
      <c r="D52" s="174">
        <f t="shared" si="24"/>
        <v>1</v>
      </c>
      <c r="E52" s="165">
        <f t="shared" si="24"/>
        <v>2</v>
      </c>
      <c r="F52" s="195">
        <f t="shared" si="24"/>
        <v>5.57E-2</v>
      </c>
      <c r="G52" s="197">
        <f t="shared" si="11"/>
        <v>2.3635756475783208E-4</v>
      </c>
      <c r="H52" s="298">
        <f t="shared" si="12"/>
        <v>2.4594643252636372E-4</v>
      </c>
      <c r="I52" s="295">
        <f t="shared" si="13"/>
        <v>1.0934557038332857E-2</v>
      </c>
      <c r="J52" s="296">
        <f t="shared" si="14"/>
        <v>46.262775847839762</v>
      </c>
      <c r="K52" s="196"/>
      <c r="L52" s="197">
        <f t="shared" si="15"/>
        <v>1.4034242180498548E-4</v>
      </c>
      <c r="M52" s="146"/>
      <c r="N52" s="146"/>
      <c r="O52" s="146"/>
    </row>
    <row r="53" spans="1:15" s="143" customFormat="1" ht="45" customHeight="1" thickBot="1" x14ac:dyDescent="0.3">
      <c r="A53" s="269"/>
      <c r="B53" s="623" t="s">
        <v>55</v>
      </c>
      <c r="C53" s="624"/>
      <c r="D53" s="624"/>
      <c r="E53" s="624"/>
      <c r="F53" s="624"/>
      <c r="G53" s="624"/>
      <c r="H53" s="625"/>
      <c r="I53" s="297">
        <f>SUM(I42:I52)</f>
        <v>9.1852290781930981E-2</v>
      </c>
      <c r="J53" s="297">
        <f>SUM(J42:J52)</f>
        <v>517.10475433583554</v>
      </c>
      <c r="K53" s="198"/>
      <c r="L53" s="267"/>
      <c r="M53" s="146"/>
      <c r="N53" s="146"/>
      <c r="O53" s="146"/>
    </row>
    <row r="54" spans="1:15" s="143" customFormat="1" ht="30" customHeight="1" thickBot="1" x14ac:dyDescent="0.3">
      <c r="A54" s="269"/>
      <c r="B54" s="199"/>
      <c r="C54" s="199"/>
      <c r="D54" s="199"/>
      <c r="E54" s="199"/>
      <c r="F54" s="199"/>
      <c r="G54" s="199"/>
      <c r="H54" s="199"/>
      <c r="I54" s="33"/>
      <c r="J54" s="33"/>
      <c r="K54" s="198"/>
      <c r="L54" s="267"/>
      <c r="M54" s="146"/>
      <c r="N54" s="146"/>
      <c r="O54" s="146"/>
    </row>
    <row r="55" spans="1:15" s="143" customFormat="1" ht="20.100000000000001" customHeight="1" x14ac:dyDescent="0.25">
      <c r="A55" s="269"/>
      <c r="B55" s="626" t="s">
        <v>111</v>
      </c>
      <c r="C55" s="627"/>
      <c r="D55" s="627"/>
      <c r="E55" s="627"/>
      <c r="F55" s="627"/>
      <c r="G55" s="627"/>
      <c r="H55" s="627"/>
      <c r="I55" s="627"/>
      <c r="J55" s="627"/>
      <c r="K55" s="627"/>
      <c r="L55" s="628"/>
      <c r="M55" s="146"/>
      <c r="N55" s="146"/>
      <c r="O55" s="146"/>
    </row>
    <row r="56" spans="1:15" s="143" customFormat="1" ht="20.100000000000001" customHeight="1" thickBot="1" x14ac:dyDescent="0.3">
      <c r="A56" s="269"/>
      <c r="B56" s="629"/>
      <c r="C56" s="630"/>
      <c r="D56" s="630"/>
      <c r="E56" s="630"/>
      <c r="F56" s="630"/>
      <c r="G56" s="630"/>
      <c r="H56" s="630"/>
      <c r="I56" s="630"/>
      <c r="J56" s="630"/>
      <c r="K56" s="630"/>
      <c r="L56" s="631"/>
      <c r="M56" s="146"/>
      <c r="N56" s="146"/>
      <c r="O56" s="146"/>
    </row>
    <row r="57" spans="1:15" s="143" customFormat="1" ht="20.100000000000001" customHeight="1" x14ac:dyDescent="0.25">
      <c r="A57" s="269"/>
      <c r="B57" s="634" t="s">
        <v>29</v>
      </c>
      <c r="C57" s="154" t="s">
        <v>97</v>
      </c>
      <c r="D57" s="636" t="s">
        <v>101</v>
      </c>
      <c r="E57" s="636"/>
      <c r="F57" s="637"/>
      <c r="G57" s="270" t="s">
        <v>112</v>
      </c>
      <c r="H57" s="154" t="s">
        <v>98</v>
      </c>
      <c r="I57" s="154" t="s">
        <v>96</v>
      </c>
      <c r="J57" s="634" t="s">
        <v>113</v>
      </c>
      <c r="K57" s="634" t="s">
        <v>114</v>
      </c>
      <c r="L57" s="638" t="s">
        <v>115</v>
      </c>
      <c r="M57" s="146"/>
      <c r="N57" s="146"/>
      <c r="O57" s="146"/>
    </row>
    <row r="58" spans="1:15" s="143" customFormat="1" ht="20.100000000000001" customHeight="1" thickBot="1" x14ac:dyDescent="0.3">
      <c r="A58" s="269"/>
      <c r="B58" s="635"/>
      <c r="C58" s="155" t="s">
        <v>104</v>
      </c>
      <c r="D58" s="157" t="s">
        <v>107</v>
      </c>
      <c r="E58" s="157" t="s">
        <v>107</v>
      </c>
      <c r="F58" s="156" t="s">
        <v>104</v>
      </c>
      <c r="G58" s="187" t="s">
        <v>106</v>
      </c>
      <c r="H58" s="155" t="s">
        <v>105</v>
      </c>
      <c r="I58" s="155" t="s">
        <v>104</v>
      </c>
      <c r="J58" s="635"/>
      <c r="K58" s="635"/>
      <c r="L58" s="639"/>
      <c r="M58" s="146"/>
      <c r="N58" s="146"/>
      <c r="O58" s="146"/>
    </row>
    <row r="59" spans="1:15" s="143" customFormat="1" ht="20.100000000000001" customHeight="1" x14ac:dyDescent="0.25">
      <c r="A59" s="269"/>
      <c r="B59" s="158" t="s">
        <v>37</v>
      </c>
      <c r="C59" s="169">
        <f>C42</f>
        <v>96.975099999999998</v>
      </c>
      <c r="D59" s="159">
        <f>D42</f>
        <v>1</v>
      </c>
      <c r="E59" s="160">
        <f>E42</f>
        <v>2</v>
      </c>
      <c r="F59" s="188">
        <f>F42</f>
        <v>5.57E-2</v>
      </c>
      <c r="G59" s="200">
        <f>ABS(L42)</f>
        <v>7.4240376113825774E-5</v>
      </c>
      <c r="H59" s="201">
        <f>ABS((G59)/(0.2785*150*(F59^2.63)))^(1/0.54)</f>
        <v>2.8806460017226682E-5</v>
      </c>
      <c r="I59" s="189">
        <f>H59*C59</f>
        <v>2.793509340816559E-3</v>
      </c>
      <c r="J59" s="200">
        <f>I59/G59</f>
        <v>37.6278985512349</v>
      </c>
      <c r="K59" s="202">
        <f>(-I70)/(1.85*J70)</f>
        <v>-5.5674399498234267E-5</v>
      </c>
      <c r="L59" s="200">
        <f>G59+$K$59</f>
        <v>1.8565976615591507E-5</v>
      </c>
      <c r="M59" s="146"/>
      <c r="N59" s="146"/>
      <c r="O59" s="146"/>
    </row>
    <row r="60" spans="1:15" s="143" customFormat="1" ht="20.100000000000001" customHeight="1" x14ac:dyDescent="0.25">
      <c r="A60" s="269"/>
      <c r="B60" s="161" t="s">
        <v>38</v>
      </c>
      <c r="C60" s="170">
        <f t="shared" ref="C60:F60" si="25">C43</f>
        <v>86.260599999999997</v>
      </c>
      <c r="D60" s="164">
        <f t="shared" si="25"/>
        <v>1</v>
      </c>
      <c r="E60" s="163">
        <f t="shared" si="25"/>
        <v>2</v>
      </c>
      <c r="F60" s="191">
        <f t="shared" si="25"/>
        <v>5.57E-2</v>
      </c>
      <c r="G60" s="193">
        <f t="shared" ref="G60:G69" si="26">ABS(L43)</f>
        <v>6.2367786187613093E-5</v>
      </c>
      <c r="H60" s="203">
        <f t="shared" ref="H60:H69" si="27">ABS((G60)/(0.2785*150*(F60^2.63)))^(1/0.54)</f>
        <v>2.0861332705109864E-5</v>
      </c>
      <c r="I60" s="192">
        <f t="shared" ref="I60:I69" si="28">H60*C60</f>
        <v>1.7995110759423999E-3</v>
      </c>
      <c r="J60" s="193">
        <f t="shared" ref="J60:J69" si="29">I60/G60</f>
        <v>28.853213909648151</v>
      </c>
      <c r="K60" s="192"/>
      <c r="L60" s="193">
        <f t="shared" ref="L60:L69" si="30">G60+$K$59</f>
        <v>6.6933866893788258E-6</v>
      </c>
      <c r="M60" s="146"/>
      <c r="N60" s="146"/>
      <c r="O60" s="146"/>
    </row>
    <row r="61" spans="1:15" s="143" customFormat="1" ht="20.100000000000001" customHeight="1" x14ac:dyDescent="0.25">
      <c r="A61" s="269"/>
      <c r="B61" s="161" t="s">
        <v>39</v>
      </c>
      <c r="C61" s="170">
        <f t="shared" ref="C61:F61" si="31">C44</f>
        <v>111.3882</v>
      </c>
      <c r="D61" s="164">
        <f t="shared" si="31"/>
        <v>1</v>
      </c>
      <c r="E61" s="163">
        <f t="shared" si="31"/>
        <v>2</v>
      </c>
      <c r="F61" s="191">
        <f t="shared" si="31"/>
        <v>5.57E-2</v>
      </c>
      <c r="G61" s="193">
        <f t="shared" si="26"/>
        <v>4.7526929309182265E-5</v>
      </c>
      <c r="H61" s="203">
        <f t="shared" si="27"/>
        <v>1.2612042713988622E-5</v>
      </c>
      <c r="I61" s="192">
        <f t="shared" si="28"/>
        <v>1.4048327362343074E-3</v>
      </c>
      <c r="J61" s="193">
        <f t="shared" si="29"/>
        <v>29.558668246696339</v>
      </c>
      <c r="K61" s="192"/>
      <c r="L61" s="193">
        <f t="shared" si="30"/>
        <v>-8.1474701890520016E-6</v>
      </c>
      <c r="M61" s="146"/>
      <c r="N61" s="146"/>
      <c r="O61" s="146"/>
    </row>
    <row r="62" spans="1:15" s="143" customFormat="1" ht="20.100000000000001" customHeight="1" x14ac:dyDescent="0.25">
      <c r="A62" s="269"/>
      <c r="B62" s="161" t="s">
        <v>64</v>
      </c>
      <c r="C62" s="170">
        <f t="shared" ref="C62:F62" si="32">C45</f>
        <v>94.485900000000001</v>
      </c>
      <c r="D62" s="164">
        <f t="shared" si="32"/>
        <v>1</v>
      </c>
      <c r="E62" s="163">
        <f t="shared" si="32"/>
        <v>2</v>
      </c>
      <c r="F62" s="191">
        <f t="shared" si="32"/>
        <v>5.57E-2</v>
      </c>
      <c r="G62" s="193">
        <f t="shared" si="26"/>
        <v>2.8362950225498273E-5</v>
      </c>
      <c r="H62" s="203">
        <f t="shared" si="27"/>
        <v>4.848660950987365E-6</v>
      </c>
      <c r="I62" s="192">
        <f t="shared" si="28"/>
        <v>4.5813009374889705E-4</v>
      </c>
      <c r="J62" s="193">
        <f t="shared" si="29"/>
        <v>16.152413275295967</v>
      </c>
      <c r="K62" s="192"/>
      <c r="L62" s="193">
        <f t="shared" si="30"/>
        <v>-2.7311449272735994E-5</v>
      </c>
      <c r="M62" s="146"/>
      <c r="N62" s="146"/>
      <c r="O62" s="146"/>
    </row>
    <row r="63" spans="1:15" s="143" customFormat="1" ht="20.100000000000001" customHeight="1" x14ac:dyDescent="0.25">
      <c r="A63" s="269"/>
      <c r="B63" s="161" t="s">
        <v>65</v>
      </c>
      <c r="C63" s="170">
        <f t="shared" ref="C63:F63" si="33">C46</f>
        <v>75.623900000000006</v>
      </c>
      <c r="D63" s="164">
        <f t="shared" si="33"/>
        <v>1</v>
      </c>
      <c r="E63" s="163">
        <f t="shared" si="33"/>
        <v>2</v>
      </c>
      <c r="F63" s="191">
        <f t="shared" si="33"/>
        <v>5.57E-2</v>
      </c>
      <c r="G63" s="193">
        <f t="shared" si="26"/>
        <v>1.2106957119378784E-5</v>
      </c>
      <c r="H63" s="203">
        <f t="shared" si="27"/>
        <v>1.0022171246735138E-6</v>
      </c>
      <c r="I63" s="192">
        <f t="shared" si="28"/>
        <v>7.579156761459734E-5</v>
      </c>
      <c r="J63" s="193">
        <f t="shared" si="29"/>
        <v>6.260166519734585</v>
      </c>
      <c r="K63" s="192"/>
      <c r="L63" s="193">
        <f t="shared" si="30"/>
        <v>-4.3567442378855483E-5</v>
      </c>
      <c r="M63" s="146"/>
      <c r="N63" s="146"/>
      <c r="O63" s="146"/>
    </row>
    <row r="64" spans="1:15" s="143" customFormat="1" ht="20.100000000000001" customHeight="1" x14ac:dyDescent="0.25">
      <c r="A64" s="269"/>
      <c r="B64" s="161" t="s">
        <v>61</v>
      </c>
      <c r="C64" s="170">
        <f t="shared" ref="C64:F64" si="34">C47</f>
        <v>33.049199999999999</v>
      </c>
      <c r="D64" s="164">
        <f t="shared" si="34"/>
        <v>1</v>
      </c>
      <c r="E64" s="163">
        <f t="shared" si="34"/>
        <v>2</v>
      </c>
      <c r="F64" s="191">
        <f t="shared" si="34"/>
        <v>5.57E-2</v>
      </c>
      <c r="G64" s="193">
        <f t="shared" si="26"/>
        <v>9.0388997058773221E-7</v>
      </c>
      <c r="H64" s="203">
        <f t="shared" si="27"/>
        <v>8.2049128693173052E-9</v>
      </c>
      <c r="I64" s="192">
        <f t="shared" si="28"/>
        <v>2.7116580640064149E-7</v>
      </c>
      <c r="J64" s="193">
        <f t="shared" si="29"/>
        <v>0.29999868924789885</v>
      </c>
      <c r="K64" s="192"/>
      <c r="L64" s="193">
        <f t="shared" si="30"/>
        <v>-5.4770509527646535E-5</v>
      </c>
      <c r="M64" s="146"/>
      <c r="N64" s="146"/>
      <c r="O64" s="146"/>
    </row>
    <row r="65" spans="1:15" s="143" customFormat="1" ht="20.100000000000001" customHeight="1" x14ac:dyDescent="0.25">
      <c r="A65" s="269"/>
      <c r="B65" s="161" t="s">
        <v>143</v>
      </c>
      <c r="C65" s="170">
        <f t="shared" ref="C65:F65" si="35">C48</f>
        <v>26.0762</v>
      </c>
      <c r="D65" s="164">
        <f t="shared" si="35"/>
        <v>1</v>
      </c>
      <c r="E65" s="163">
        <f t="shared" si="35"/>
        <v>2</v>
      </c>
      <c r="F65" s="191">
        <f t="shared" si="35"/>
        <v>5.57E-2</v>
      </c>
      <c r="G65" s="193">
        <f t="shared" si="26"/>
        <v>6.5898978020500441E-6</v>
      </c>
      <c r="H65" s="203">
        <f t="shared" si="27"/>
        <v>3.2492523374190722E-7</v>
      </c>
      <c r="I65" s="192">
        <f t="shared" si="28"/>
        <v>8.4728153801007214E-6</v>
      </c>
      <c r="J65" s="193">
        <f t="shared" si="29"/>
        <v>1.2857278875349056</v>
      </c>
      <c r="K65" s="192"/>
      <c r="L65" s="193">
        <f t="shared" si="30"/>
        <v>-4.9084501696184223E-5</v>
      </c>
      <c r="M65" s="146"/>
      <c r="N65" s="146"/>
      <c r="O65" s="146"/>
    </row>
    <row r="66" spans="1:15" s="143" customFormat="1" ht="20.100000000000001" customHeight="1" x14ac:dyDescent="0.25">
      <c r="A66" s="269"/>
      <c r="B66" s="161" t="s">
        <v>141</v>
      </c>
      <c r="C66" s="170">
        <f t="shared" ref="C66:F66" si="36">C49</f>
        <v>17.547599999999999</v>
      </c>
      <c r="D66" s="164">
        <f t="shared" si="36"/>
        <v>1</v>
      </c>
      <c r="E66" s="163">
        <f t="shared" si="36"/>
        <v>2</v>
      </c>
      <c r="F66" s="191">
        <f t="shared" si="36"/>
        <v>5.57E-2</v>
      </c>
      <c r="G66" s="193">
        <f t="shared" si="26"/>
        <v>1.6058434266841732E-4</v>
      </c>
      <c r="H66" s="203">
        <f t="shared" si="27"/>
        <v>1.2022007468533905E-4</v>
      </c>
      <c r="I66" s="192">
        <f t="shared" si="28"/>
        <v>2.1095737825484553E-3</v>
      </c>
      <c r="J66" s="193">
        <f t="shared" si="29"/>
        <v>13.136858472587269</v>
      </c>
      <c r="K66" s="192"/>
      <c r="L66" s="193">
        <f t="shared" si="30"/>
        <v>1.0490994317018305E-4</v>
      </c>
      <c r="M66" s="146"/>
      <c r="N66" s="146"/>
      <c r="O66" s="146"/>
    </row>
    <row r="67" spans="1:15" s="143" customFormat="1" ht="20.100000000000001" customHeight="1" x14ac:dyDescent="0.25">
      <c r="A67" s="269"/>
      <c r="B67" s="161" t="s">
        <v>85</v>
      </c>
      <c r="C67" s="170">
        <f t="shared" ref="C67:F67" si="37">C50</f>
        <v>95.631299999999982</v>
      </c>
      <c r="D67" s="164">
        <f t="shared" si="37"/>
        <v>1</v>
      </c>
      <c r="E67" s="163">
        <f t="shared" si="37"/>
        <v>2</v>
      </c>
      <c r="F67" s="191">
        <f t="shared" si="37"/>
        <v>5.57E-2</v>
      </c>
      <c r="G67" s="193">
        <f t="shared" si="26"/>
        <v>1.5756533491563155E-4</v>
      </c>
      <c r="H67" s="203">
        <f t="shared" si="27"/>
        <v>1.160681506905284E-4</v>
      </c>
      <c r="I67" s="192">
        <f t="shared" si="28"/>
        <v>1.1099748139131126E-2</v>
      </c>
      <c r="J67" s="193">
        <f t="shared" si="29"/>
        <v>70.445368869202696</v>
      </c>
      <c r="K67" s="192"/>
      <c r="L67" s="193">
        <f t="shared" si="30"/>
        <v>1.0189093541739728E-4</v>
      </c>
      <c r="M67" s="146"/>
      <c r="N67" s="146"/>
      <c r="O67" s="146"/>
    </row>
    <row r="68" spans="1:15" s="143" customFormat="1" ht="20.100000000000001" customHeight="1" x14ac:dyDescent="0.25">
      <c r="A68" s="269"/>
      <c r="B68" s="161" t="s">
        <v>86</v>
      </c>
      <c r="C68" s="170">
        <f t="shared" ref="C68:F68" si="38">C51</f>
        <v>4.4747000000000003</v>
      </c>
      <c r="D68" s="164">
        <f t="shared" si="38"/>
        <v>1</v>
      </c>
      <c r="E68" s="163">
        <f t="shared" si="38"/>
        <v>2</v>
      </c>
      <c r="F68" s="191">
        <f t="shared" si="38"/>
        <v>5.57E-2</v>
      </c>
      <c r="G68" s="193">
        <f t="shared" si="26"/>
        <v>1.4111227944884507E-4</v>
      </c>
      <c r="H68" s="203">
        <f t="shared" si="27"/>
        <v>9.4627422332061332E-5</v>
      </c>
      <c r="I68" s="192">
        <f t="shared" si="28"/>
        <v>4.2342932670927488E-4</v>
      </c>
      <c r="J68" s="193">
        <f t="shared" si="29"/>
        <v>3.0006554239156289</v>
      </c>
      <c r="K68" s="192"/>
      <c r="L68" s="193">
        <f t="shared" si="30"/>
        <v>8.5437879950610806E-5</v>
      </c>
      <c r="M68" s="146"/>
      <c r="N68" s="146"/>
      <c r="O68" s="146"/>
    </row>
    <row r="69" spans="1:15" s="143" customFormat="1" ht="20.100000000000001" customHeight="1" thickBot="1" x14ac:dyDescent="0.3">
      <c r="A69" s="269"/>
      <c r="B69" s="206" t="s">
        <v>142</v>
      </c>
      <c r="C69" s="194">
        <f t="shared" ref="C69:F69" si="39">C52</f>
        <v>44.459099999999999</v>
      </c>
      <c r="D69" s="174">
        <f t="shared" si="39"/>
        <v>1</v>
      </c>
      <c r="E69" s="165">
        <f t="shared" si="39"/>
        <v>2</v>
      </c>
      <c r="F69" s="195">
        <f t="shared" si="39"/>
        <v>5.57E-2</v>
      </c>
      <c r="G69" s="197">
        <f t="shared" si="26"/>
        <v>1.4034242180498548E-4</v>
      </c>
      <c r="H69" s="298">
        <f t="shared" si="27"/>
        <v>9.3673620279703803E-5</v>
      </c>
      <c r="I69" s="295">
        <f t="shared" si="28"/>
        <v>4.1646448513773795E-3</v>
      </c>
      <c r="J69" s="296">
        <f t="shared" si="29"/>
        <v>29.674882318650681</v>
      </c>
      <c r="K69" s="196"/>
      <c r="L69" s="197">
        <f t="shared" si="30"/>
        <v>8.466802230675121E-5</v>
      </c>
      <c r="M69" s="146"/>
      <c r="N69" s="146"/>
      <c r="O69" s="146"/>
    </row>
    <row r="70" spans="1:15" s="143" customFormat="1" ht="45" customHeight="1" thickBot="1" x14ac:dyDescent="0.3">
      <c r="A70" s="269"/>
      <c r="B70" s="623" t="s">
        <v>55</v>
      </c>
      <c r="C70" s="624"/>
      <c r="D70" s="624"/>
      <c r="E70" s="624"/>
      <c r="F70" s="624"/>
      <c r="G70" s="624"/>
      <c r="H70" s="625"/>
      <c r="I70" s="297">
        <f>SUM(I59:I69)</f>
        <v>2.4337914895309495E-2</v>
      </c>
      <c r="J70" s="297">
        <f>SUM(J59:J69)</f>
        <v>236.295852163749</v>
      </c>
      <c r="K70" s="198"/>
      <c r="L70" s="267"/>
      <c r="M70" s="145"/>
      <c r="N70" s="145"/>
      <c r="O70" s="145"/>
    </row>
    <row r="71" spans="1:15" s="143" customFormat="1" ht="30" customHeight="1" thickBot="1" x14ac:dyDescent="0.3">
      <c r="A71" s="269"/>
      <c r="B71" s="199"/>
      <c r="C71" s="199"/>
      <c r="D71" s="199"/>
      <c r="E71" s="199"/>
      <c r="F71" s="199"/>
      <c r="G71" s="199"/>
      <c r="H71" s="199"/>
      <c r="I71" s="33"/>
      <c r="J71" s="33"/>
      <c r="K71" s="198"/>
      <c r="L71" s="267"/>
      <c r="M71" s="146"/>
      <c r="N71" s="146"/>
      <c r="O71" s="146"/>
    </row>
    <row r="72" spans="1:15" s="143" customFormat="1" ht="20.100000000000001" customHeight="1" x14ac:dyDescent="0.25">
      <c r="A72" s="269"/>
      <c r="B72" s="626" t="s">
        <v>111</v>
      </c>
      <c r="C72" s="627"/>
      <c r="D72" s="627"/>
      <c r="E72" s="627"/>
      <c r="F72" s="627"/>
      <c r="G72" s="627"/>
      <c r="H72" s="627"/>
      <c r="I72" s="627"/>
      <c r="J72" s="627"/>
      <c r="K72" s="627"/>
      <c r="L72" s="628"/>
      <c r="M72" s="146"/>
      <c r="N72" s="146"/>
      <c r="O72" s="146"/>
    </row>
    <row r="73" spans="1:15" s="143" customFormat="1" ht="20.100000000000001" customHeight="1" thickBot="1" x14ac:dyDescent="0.3">
      <c r="A73" s="269"/>
      <c r="B73" s="629"/>
      <c r="C73" s="630"/>
      <c r="D73" s="630"/>
      <c r="E73" s="630"/>
      <c r="F73" s="630"/>
      <c r="G73" s="630"/>
      <c r="H73" s="630"/>
      <c r="I73" s="630"/>
      <c r="J73" s="630"/>
      <c r="K73" s="630"/>
      <c r="L73" s="631"/>
      <c r="M73" s="146"/>
      <c r="N73" s="146"/>
      <c r="O73" s="146"/>
    </row>
    <row r="74" spans="1:15" s="143" customFormat="1" ht="20.100000000000001" customHeight="1" x14ac:dyDescent="0.25">
      <c r="A74" s="269"/>
      <c r="B74" s="634" t="s">
        <v>29</v>
      </c>
      <c r="C74" s="154" t="s">
        <v>97</v>
      </c>
      <c r="D74" s="636" t="s">
        <v>101</v>
      </c>
      <c r="E74" s="636"/>
      <c r="F74" s="637"/>
      <c r="G74" s="270" t="s">
        <v>112</v>
      </c>
      <c r="H74" s="154" t="s">
        <v>98</v>
      </c>
      <c r="I74" s="154" t="s">
        <v>96</v>
      </c>
      <c r="J74" s="634" t="s">
        <v>113</v>
      </c>
      <c r="K74" s="634" t="s">
        <v>114</v>
      </c>
      <c r="L74" s="638" t="s">
        <v>115</v>
      </c>
      <c r="M74" s="146"/>
      <c r="N74" s="146"/>
      <c r="O74" s="146"/>
    </row>
    <row r="75" spans="1:15" s="143" customFormat="1" ht="20.100000000000001" customHeight="1" thickBot="1" x14ac:dyDescent="0.3">
      <c r="A75" s="269"/>
      <c r="B75" s="635"/>
      <c r="C75" s="155" t="s">
        <v>104</v>
      </c>
      <c r="D75" s="157" t="s">
        <v>107</v>
      </c>
      <c r="E75" s="157" t="s">
        <v>107</v>
      </c>
      <c r="F75" s="156" t="s">
        <v>104</v>
      </c>
      <c r="G75" s="187" t="s">
        <v>106</v>
      </c>
      <c r="H75" s="155" t="s">
        <v>105</v>
      </c>
      <c r="I75" s="155" t="s">
        <v>104</v>
      </c>
      <c r="J75" s="635"/>
      <c r="K75" s="635"/>
      <c r="L75" s="639"/>
      <c r="M75" s="146"/>
      <c r="N75" s="146"/>
      <c r="O75" s="146"/>
    </row>
    <row r="76" spans="1:15" s="143" customFormat="1" ht="20.100000000000001" customHeight="1" x14ac:dyDescent="0.25">
      <c r="A76" s="269"/>
      <c r="B76" s="158" t="s">
        <v>37</v>
      </c>
      <c r="C76" s="169">
        <f>C59</f>
        <v>96.975099999999998</v>
      </c>
      <c r="D76" s="159">
        <f>D59</f>
        <v>1</v>
      </c>
      <c r="E76" s="160">
        <f>E59</f>
        <v>2</v>
      </c>
      <c r="F76" s="188">
        <f>F59</f>
        <v>5.57E-2</v>
      </c>
      <c r="G76" s="200">
        <f>ABS(L59)</f>
        <v>1.8565976615591507E-5</v>
      </c>
      <c r="H76" s="201">
        <f>ABS((G76)/(0.2785*150*(F76^2.63)))^(1/0.54)</f>
        <v>2.2121717742673948E-6</v>
      </c>
      <c r="I76" s="189">
        <f>H76*C76</f>
        <v>2.1452557902675804E-4</v>
      </c>
      <c r="J76" s="200">
        <f>I76/G76</f>
        <v>11.554769429505894</v>
      </c>
      <c r="K76" s="202">
        <f>(-I87)/(1.85*J87)</f>
        <v>-3.5884458505498716E-5</v>
      </c>
      <c r="L76" s="200">
        <f>G76+$K$76</f>
        <v>-1.7318481889907209E-5</v>
      </c>
      <c r="M76" s="146"/>
      <c r="N76" s="146"/>
      <c r="O76" s="146"/>
    </row>
    <row r="77" spans="1:15" s="143" customFormat="1" ht="20.100000000000001" customHeight="1" x14ac:dyDescent="0.25">
      <c r="A77" s="269"/>
      <c r="B77" s="161" t="s">
        <v>38</v>
      </c>
      <c r="C77" s="170">
        <f t="shared" ref="C77:F77" si="40">C60</f>
        <v>86.260599999999997</v>
      </c>
      <c r="D77" s="164">
        <f t="shared" si="40"/>
        <v>1</v>
      </c>
      <c r="E77" s="163">
        <f t="shared" si="40"/>
        <v>2</v>
      </c>
      <c r="F77" s="191">
        <f t="shared" si="40"/>
        <v>5.57E-2</v>
      </c>
      <c r="G77" s="193">
        <f t="shared" ref="G77:G86" si="41">ABS(L60)</f>
        <v>6.6933866893788258E-6</v>
      </c>
      <c r="H77" s="203">
        <f t="shared" ref="H77:H86" si="42">ABS((G77)/(0.2785*150*(F77^2.63)))^(1/0.54)</f>
        <v>3.3443780084506109E-7</v>
      </c>
      <c r="I77" s="192">
        <f t="shared" ref="I77:I86" si="43">H77*C77</f>
        <v>2.8848805363575477E-5</v>
      </c>
      <c r="J77" s="193">
        <f t="shared" ref="J77:J86" si="44">I77/G77</f>
        <v>4.3100461249838187</v>
      </c>
      <c r="K77" s="192"/>
      <c r="L77" s="193">
        <f t="shared" ref="L77:L86" si="45">G77+$K$76</f>
        <v>-2.919107181611989E-5</v>
      </c>
      <c r="M77" s="146"/>
      <c r="N77" s="146"/>
      <c r="O77" s="146"/>
    </row>
    <row r="78" spans="1:15" s="143" customFormat="1" ht="20.100000000000001" customHeight="1" x14ac:dyDescent="0.25">
      <c r="A78" s="269"/>
      <c r="B78" s="161" t="s">
        <v>39</v>
      </c>
      <c r="C78" s="170">
        <f t="shared" ref="C78:F78" si="46">C61</f>
        <v>111.3882</v>
      </c>
      <c r="D78" s="164">
        <f t="shared" si="46"/>
        <v>1</v>
      </c>
      <c r="E78" s="163">
        <f t="shared" si="46"/>
        <v>2</v>
      </c>
      <c r="F78" s="191">
        <f t="shared" si="46"/>
        <v>5.57E-2</v>
      </c>
      <c r="G78" s="193">
        <f t="shared" si="41"/>
        <v>8.1474701890520016E-6</v>
      </c>
      <c r="H78" s="203">
        <f t="shared" si="42"/>
        <v>4.8130532142708193E-7</v>
      </c>
      <c r="I78" s="192">
        <f t="shared" si="43"/>
        <v>5.3611733404184089E-5</v>
      </c>
      <c r="J78" s="193">
        <f t="shared" si="44"/>
        <v>6.5801693237520249</v>
      </c>
      <c r="K78" s="192"/>
      <c r="L78" s="193">
        <f t="shared" si="45"/>
        <v>-2.7736988316446714E-5</v>
      </c>
      <c r="M78" s="146"/>
      <c r="N78" s="146"/>
      <c r="O78" s="146"/>
    </row>
    <row r="79" spans="1:15" s="143" customFormat="1" ht="20.100000000000001" customHeight="1" x14ac:dyDescent="0.25">
      <c r="A79" s="269"/>
      <c r="B79" s="161" t="s">
        <v>64</v>
      </c>
      <c r="C79" s="170">
        <f t="shared" ref="C79:F79" si="47">C62</f>
        <v>94.485900000000001</v>
      </c>
      <c r="D79" s="164">
        <f t="shared" si="47"/>
        <v>1</v>
      </c>
      <c r="E79" s="163">
        <f t="shared" si="47"/>
        <v>2</v>
      </c>
      <c r="F79" s="191">
        <f t="shared" si="47"/>
        <v>5.57E-2</v>
      </c>
      <c r="G79" s="193">
        <f t="shared" si="41"/>
        <v>2.7311449272735994E-5</v>
      </c>
      <c r="H79" s="203">
        <f t="shared" si="42"/>
        <v>4.521048016684191E-6</v>
      </c>
      <c r="I79" s="192">
        <f t="shared" si="43"/>
        <v>4.2717529079962078E-4</v>
      </c>
      <c r="J79" s="193">
        <f t="shared" si="44"/>
        <v>15.640886960402135</v>
      </c>
      <c r="K79" s="192"/>
      <c r="L79" s="193">
        <f t="shared" si="45"/>
        <v>-8.5730092327627213E-6</v>
      </c>
      <c r="M79" s="146"/>
      <c r="N79" s="146"/>
      <c r="O79" s="146"/>
    </row>
    <row r="80" spans="1:15" s="143" customFormat="1" ht="20.100000000000001" customHeight="1" x14ac:dyDescent="0.25">
      <c r="A80" s="269"/>
      <c r="B80" s="161" t="s">
        <v>65</v>
      </c>
      <c r="C80" s="170">
        <f t="shared" ref="C80:F80" si="48">C63</f>
        <v>75.623900000000006</v>
      </c>
      <c r="D80" s="164">
        <f t="shared" si="48"/>
        <v>1</v>
      </c>
      <c r="E80" s="163">
        <f t="shared" si="48"/>
        <v>2</v>
      </c>
      <c r="F80" s="191">
        <f t="shared" si="48"/>
        <v>5.57E-2</v>
      </c>
      <c r="G80" s="193">
        <f t="shared" si="41"/>
        <v>4.3567442378855483E-5</v>
      </c>
      <c r="H80" s="203">
        <f t="shared" si="42"/>
        <v>1.0735610524861979E-5</v>
      </c>
      <c r="I80" s="192">
        <f t="shared" si="43"/>
        <v>8.1186873677110982E-4</v>
      </c>
      <c r="J80" s="193">
        <f t="shared" si="44"/>
        <v>18.634757801737123</v>
      </c>
      <c r="K80" s="192"/>
      <c r="L80" s="193">
        <f t="shared" si="45"/>
        <v>7.6829838733567671E-6</v>
      </c>
      <c r="M80" s="146"/>
      <c r="N80" s="146"/>
      <c r="O80" s="146"/>
    </row>
    <row r="81" spans="1:15" s="143" customFormat="1" ht="20.100000000000001" customHeight="1" x14ac:dyDescent="0.25">
      <c r="A81" s="269"/>
      <c r="B81" s="161" t="s">
        <v>61</v>
      </c>
      <c r="C81" s="170">
        <f t="shared" ref="C81:F81" si="49">C64</f>
        <v>33.049199999999999</v>
      </c>
      <c r="D81" s="164">
        <f t="shared" si="49"/>
        <v>1</v>
      </c>
      <c r="E81" s="163">
        <f t="shared" si="49"/>
        <v>2</v>
      </c>
      <c r="F81" s="191">
        <f t="shared" si="49"/>
        <v>5.57E-2</v>
      </c>
      <c r="G81" s="193">
        <f t="shared" si="41"/>
        <v>5.4770509527646535E-5</v>
      </c>
      <c r="H81" s="203">
        <f t="shared" si="42"/>
        <v>1.6401082652284638E-5</v>
      </c>
      <c r="I81" s="192">
        <f t="shared" si="43"/>
        <v>5.4204266079188547E-4</v>
      </c>
      <c r="J81" s="193">
        <f t="shared" si="44"/>
        <v>9.8966152673507324</v>
      </c>
      <c r="K81" s="192"/>
      <c r="L81" s="193">
        <f t="shared" si="45"/>
        <v>1.8886051022147819E-5</v>
      </c>
      <c r="M81" s="146"/>
      <c r="N81" s="146"/>
      <c r="O81" s="146"/>
    </row>
    <row r="82" spans="1:15" s="143" customFormat="1" ht="20.100000000000001" customHeight="1" x14ac:dyDescent="0.25">
      <c r="A82" s="269"/>
      <c r="B82" s="161" t="s">
        <v>143</v>
      </c>
      <c r="C82" s="170">
        <f t="shared" ref="C82:F82" si="50">C65</f>
        <v>26.0762</v>
      </c>
      <c r="D82" s="164">
        <f t="shared" si="50"/>
        <v>1</v>
      </c>
      <c r="E82" s="163">
        <f t="shared" si="50"/>
        <v>2</v>
      </c>
      <c r="F82" s="191">
        <f t="shared" si="50"/>
        <v>5.57E-2</v>
      </c>
      <c r="G82" s="193">
        <f t="shared" si="41"/>
        <v>4.9084501696184223E-5</v>
      </c>
      <c r="H82" s="203">
        <f t="shared" si="42"/>
        <v>1.3388130418914083E-5</v>
      </c>
      <c r="I82" s="192">
        <f t="shared" si="43"/>
        <v>3.4911156642968743E-4</v>
      </c>
      <c r="J82" s="193">
        <f t="shared" si="44"/>
        <v>7.1124602342011141</v>
      </c>
      <c r="K82" s="192"/>
      <c r="L82" s="193">
        <f t="shared" si="45"/>
        <v>1.3200043190685507E-5</v>
      </c>
      <c r="M82" s="146"/>
      <c r="N82" s="146"/>
      <c r="O82" s="146"/>
    </row>
    <row r="83" spans="1:15" s="143" customFormat="1" ht="20.100000000000001" customHeight="1" x14ac:dyDescent="0.25">
      <c r="A83" s="269"/>
      <c r="B83" s="161" t="s">
        <v>141</v>
      </c>
      <c r="C83" s="170">
        <f t="shared" ref="C83:F83" si="51">C66</f>
        <v>17.547599999999999</v>
      </c>
      <c r="D83" s="164">
        <f t="shared" si="51"/>
        <v>1</v>
      </c>
      <c r="E83" s="163">
        <f t="shared" si="51"/>
        <v>2</v>
      </c>
      <c r="F83" s="191">
        <f t="shared" si="51"/>
        <v>5.57E-2</v>
      </c>
      <c r="G83" s="193">
        <f t="shared" si="41"/>
        <v>1.0490994317018305E-4</v>
      </c>
      <c r="H83" s="203">
        <f t="shared" si="42"/>
        <v>5.4650545317623949E-5</v>
      </c>
      <c r="I83" s="192">
        <f t="shared" si="43"/>
        <v>9.5898590901553795E-4</v>
      </c>
      <c r="J83" s="193">
        <f t="shared" si="44"/>
        <v>9.1410392574504407</v>
      </c>
      <c r="K83" s="192"/>
      <c r="L83" s="193">
        <f t="shared" si="45"/>
        <v>6.9025484664684333E-5</v>
      </c>
      <c r="M83" s="146"/>
      <c r="N83" s="146"/>
      <c r="O83" s="146"/>
    </row>
    <row r="84" spans="1:15" s="143" customFormat="1" ht="20.100000000000001" customHeight="1" x14ac:dyDescent="0.25">
      <c r="A84" s="269"/>
      <c r="B84" s="161" t="s">
        <v>85</v>
      </c>
      <c r="C84" s="170">
        <f t="shared" ref="C84:F84" si="52">C67</f>
        <v>95.631299999999982</v>
      </c>
      <c r="D84" s="164">
        <f t="shared" si="52"/>
        <v>1</v>
      </c>
      <c r="E84" s="163">
        <f t="shared" si="52"/>
        <v>2</v>
      </c>
      <c r="F84" s="191">
        <f t="shared" si="52"/>
        <v>5.57E-2</v>
      </c>
      <c r="G84" s="193">
        <f t="shared" si="41"/>
        <v>1.0189093541739728E-4</v>
      </c>
      <c r="H84" s="203">
        <f t="shared" si="42"/>
        <v>5.1773911472274874E-5</v>
      </c>
      <c r="I84" s="192">
        <f t="shared" si="43"/>
        <v>4.951206460178559E-3</v>
      </c>
      <c r="J84" s="193">
        <f t="shared" si="44"/>
        <v>48.593198599030323</v>
      </c>
      <c r="K84" s="192"/>
      <c r="L84" s="193">
        <f t="shared" si="45"/>
        <v>6.6006476911898568E-5</v>
      </c>
      <c r="M84" s="146"/>
      <c r="N84" s="146"/>
      <c r="O84" s="146"/>
    </row>
    <row r="85" spans="1:15" s="143" customFormat="1" ht="20.100000000000001" customHeight="1" x14ac:dyDescent="0.25">
      <c r="A85" s="269"/>
      <c r="B85" s="161" t="s">
        <v>86</v>
      </c>
      <c r="C85" s="170">
        <f t="shared" ref="C85:F85" si="53">C68</f>
        <v>4.4747000000000003</v>
      </c>
      <c r="D85" s="164">
        <f t="shared" si="53"/>
        <v>1</v>
      </c>
      <c r="E85" s="163">
        <f t="shared" si="53"/>
        <v>2</v>
      </c>
      <c r="F85" s="191">
        <f t="shared" si="53"/>
        <v>5.57E-2</v>
      </c>
      <c r="G85" s="193">
        <f t="shared" si="41"/>
        <v>8.5437879950610806E-5</v>
      </c>
      <c r="H85" s="203">
        <f t="shared" si="42"/>
        <v>3.7365597260014888E-5</v>
      </c>
      <c r="I85" s="192">
        <f t="shared" si="43"/>
        <v>1.6719983805938863E-4</v>
      </c>
      <c r="J85" s="193">
        <f t="shared" si="44"/>
        <v>1.9569755026229827</v>
      </c>
      <c r="K85" s="192"/>
      <c r="L85" s="193">
        <f t="shared" si="45"/>
        <v>4.955342144511209E-5</v>
      </c>
      <c r="M85" s="146"/>
      <c r="N85" s="146"/>
      <c r="O85" s="146"/>
    </row>
    <row r="86" spans="1:15" s="143" customFormat="1" ht="20.100000000000001" customHeight="1" thickBot="1" x14ac:dyDescent="0.3">
      <c r="A86" s="269"/>
      <c r="B86" s="206" t="s">
        <v>142</v>
      </c>
      <c r="C86" s="194">
        <f t="shared" ref="C86:F86" si="54">C69</f>
        <v>44.459099999999999</v>
      </c>
      <c r="D86" s="174">
        <f t="shared" si="54"/>
        <v>1</v>
      </c>
      <c r="E86" s="165">
        <f t="shared" si="54"/>
        <v>2</v>
      </c>
      <c r="F86" s="195">
        <f t="shared" si="54"/>
        <v>5.57E-2</v>
      </c>
      <c r="G86" s="197">
        <f t="shared" si="41"/>
        <v>8.466802230675121E-5</v>
      </c>
      <c r="H86" s="298">
        <f t="shared" si="42"/>
        <v>3.6744488866535529E-5</v>
      </c>
      <c r="I86" s="295">
        <f t="shared" si="43"/>
        <v>1.6336269049661897E-3</v>
      </c>
      <c r="J86" s="296">
        <f t="shared" si="44"/>
        <v>19.294497030385088</v>
      </c>
      <c r="K86" s="196"/>
      <c r="L86" s="197">
        <f t="shared" si="45"/>
        <v>4.8783563801252494E-5</v>
      </c>
      <c r="M86" s="146"/>
      <c r="N86" s="146"/>
      <c r="O86" s="146"/>
    </row>
    <row r="87" spans="1:15" s="143" customFormat="1" ht="45" customHeight="1" thickBot="1" x14ac:dyDescent="0.3">
      <c r="A87" s="269"/>
      <c r="B87" s="623" t="s">
        <v>55</v>
      </c>
      <c r="C87" s="624"/>
      <c r="D87" s="624"/>
      <c r="E87" s="624"/>
      <c r="F87" s="624"/>
      <c r="G87" s="624"/>
      <c r="H87" s="625"/>
      <c r="I87" s="297">
        <f>SUM(I76:I86)</f>
        <v>1.0138203484806497E-2</v>
      </c>
      <c r="J87" s="297">
        <f>SUM(J76:J86)</f>
        <v>152.71541553142168</v>
      </c>
      <c r="K87" s="198"/>
      <c r="L87" s="267"/>
      <c r="M87" s="146"/>
      <c r="N87" s="146"/>
      <c r="O87" s="146"/>
    </row>
    <row r="88" spans="1:15" s="143" customFormat="1" ht="30" customHeight="1" thickBot="1" x14ac:dyDescent="0.3">
      <c r="A88" s="269"/>
      <c r="B88" s="199"/>
      <c r="C88" s="199"/>
      <c r="D88" s="199"/>
      <c r="E88" s="199"/>
      <c r="F88" s="199"/>
      <c r="G88" s="199"/>
      <c r="H88" s="199"/>
      <c r="I88" s="33"/>
      <c r="J88" s="33"/>
      <c r="K88" s="198"/>
      <c r="L88" s="267"/>
      <c r="M88" s="146"/>
      <c r="N88" s="146"/>
      <c r="O88" s="146"/>
    </row>
    <row r="89" spans="1:15" s="143" customFormat="1" ht="20.100000000000001" customHeight="1" x14ac:dyDescent="0.25">
      <c r="A89" s="269"/>
      <c r="B89" s="626" t="s">
        <v>111</v>
      </c>
      <c r="C89" s="627"/>
      <c r="D89" s="627"/>
      <c r="E89" s="627"/>
      <c r="F89" s="627"/>
      <c r="G89" s="627"/>
      <c r="H89" s="627"/>
      <c r="I89" s="627"/>
      <c r="J89" s="627"/>
      <c r="K89" s="627"/>
      <c r="L89" s="628"/>
      <c r="M89" s="146"/>
      <c r="N89" s="146"/>
      <c r="O89" s="146"/>
    </row>
    <row r="90" spans="1:15" s="143" customFormat="1" ht="20.100000000000001" customHeight="1" thickBot="1" x14ac:dyDescent="0.3">
      <c r="A90" s="269"/>
      <c r="B90" s="629"/>
      <c r="C90" s="630"/>
      <c r="D90" s="630"/>
      <c r="E90" s="630"/>
      <c r="F90" s="630"/>
      <c r="G90" s="630"/>
      <c r="H90" s="630"/>
      <c r="I90" s="630"/>
      <c r="J90" s="630"/>
      <c r="K90" s="630"/>
      <c r="L90" s="631"/>
      <c r="M90" s="146"/>
      <c r="N90" s="146"/>
      <c r="O90" s="146"/>
    </row>
    <row r="91" spans="1:15" s="143" customFormat="1" ht="20.100000000000001" customHeight="1" x14ac:dyDescent="0.25">
      <c r="A91" s="269"/>
      <c r="B91" s="634" t="s">
        <v>29</v>
      </c>
      <c r="C91" s="154" t="s">
        <v>97</v>
      </c>
      <c r="D91" s="636" t="s">
        <v>101</v>
      </c>
      <c r="E91" s="636"/>
      <c r="F91" s="637"/>
      <c r="G91" s="270" t="s">
        <v>112</v>
      </c>
      <c r="H91" s="154" t="s">
        <v>98</v>
      </c>
      <c r="I91" s="154" t="s">
        <v>96</v>
      </c>
      <c r="J91" s="634" t="s">
        <v>113</v>
      </c>
      <c r="K91" s="634" t="s">
        <v>114</v>
      </c>
      <c r="L91" s="638" t="s">
        <v>115</v>
      </c>
      <c r="M91" s="146"/>
      <c r="N91" s="146"/>
      <c r="O91" s="146"/>
    </row>
    <row r="92" spans="1:15" s="143" customFormat="1" ht="20.100000000000001" customHeight="1" thickBot="1" x14ac:dyDescent="0.3">
      <c r="A92" s="269"/>
      <c r="B92" s="635"/>
      <c r="C92" s="155" t="s">
        <v>104</v>
      </c>
      <c r="D92" s="157" t="s">
        <v>107</v>
      </c>
      <c r="E92" s="157" t="s">
        <v>107</v>
      </c>
      <c r="F92" s="156" t="s">
        <v>104</v>
      </c>
      <c r="G92" s="187" t="s">
        <v>106</v>
      </c>
      <c r="H92" s="155" t="s">
        <v>105</v>
      </c>
      <c r="I92" s="155" t="s">
        <v>104</v>
      </c>
      <c r="J92" s="635"/>
      <c r="K92" s="635"/>
      <c r="L92" s="639"/>
      <c r="M92" s="146"/>
      <c r="N92" s="146"/>
      <c r="O92" s="146"/>
    </row>
    <row r="93" spans="1:15" s="143" customFormat="1" ht="20.100000000000001" customHeight="1" x14ac:dyDescent="0.25">
      <c r="A93" s="269"/>
      <c r="B93" s="158" t="s">
        <v>37</v>
      </c>
      <c r="C93" s="169">
        <f>C76</f>
        <v>96.975099999999998</v>
      </c>
      <c r="D93" s="159">
        <f>D76</f>
        <v>1</v>
      </c>
      <c r="E93" s="160">
        <f>E76</f>
        <v>2</v>
      </c>
      <c r="F93" s="188">
        <f>F76</f>
        <v>5.57E-2</v>
      </c>
      <c r="G93" s="200">
        <f>ABS(L76)</f>
        <v>1.7318481889907209E-5</v>
      </c>
      <c r="H93" s="201">
        <f>ABS((G93)/(0.2785*150*(F93^2.63)))^(1/0.54)</f>
        <v>1.9448143230273515E-6</v>
      </c>
      <c r="I93" s="189">
        <f>H93*C93</f>
        <v>1.885985634570097E-4</v>
      </c>
      <c r="J93" s="200">
        <f>I93/G93</f>
        <v>10.890017072854427</v>
      </c>
      <c r="K93" s="202">
        <f>(-I104)/(1.85*J104)</f>
        <v>-2.1951984029414343E-5</v>
      </c>
      <c r="L93" s="200">
        <f>G93+$K$93</f>
        <v>-4.6335021395071339E-6</v>
      </c>
      <c r="M93" s="146"/>
      <c r="N93" s="146"/>
      <c r="O93" s="146"/>
    </row>
    <row r="94" spans="1:15" s="143" customFormat="1" ht="20.100000000000001" customHeight="1" x14ac:dyDescent="0.25">
      <c r="A94" s="269"/>
      <c r="B94" s="161" t="s">
        <v>38</v>
      </c>
      <c r="C94" s="170">
        <f t="shared" ref="C94:F94" si="55">C77</f>
        <v>86.260599999999997</v>
      </c>
      <c r="D94" s="164">
        <f t="shared" si="55"/>
        <v>1</v>
      </c>
      <c r="E94" s="163">
        <f t="shared" si="55"/>
        <v>2</v>
      </c>
      <c r="F94" s="191">
        <f t="shared" si="55"/>
        <v>5.57E-2</v>
      </c>
      <c r="G94" s="193">
        <f t="shared" ref="G94:G103" si="56">ABS(L77)</f>
        <v>2.919107181611989E-5</v>
      </c>
      <c r="H94" s="203">
        <f t="shared" ref="H94:H103" si="57">ABS((G94)/(0.2785*150*(F94^2.63)))^(1/0.54)</f>
        <v>5.1140791296535536E-6</v>
      </c>
      <c r="I94" s="192">
        <f t="shared" ref="I94:I103" si="58">H94*C94</f>
        <v>4.4114353417139333E-4</v>
      </c>
      <c r="J94" s="193">
        <f t="shared" ref="J94:J103" si="59">I94/G94</f>
        <v>15.112276005151175</v>
      </c>
      <c r="K94" s="192"/>
      <c r="L94" s="193">
        <f t="shared" ref="L94:L103" si="60">G94+$K$93</f>
        <v>7.2390877867055473E-6</v>
      </c>
      <c r="M94" s="146"/>
      <c r="N94" s="146"/>
      <c r="O94" s="146"/>
    </row>
    <row r="95" spans="1:15" s="143" customFormat="1" ht="20.100000000000001" customHeight="1" x14ac:dyDescent="0.25">
      <c r="A95" s="269"/>
      <c r="B95" s="161" t="s">
        <v>39</v>
      </c>
      <c r="C95" s="170">
        <f t="shared" ref="C95:F95" si="61">C78</f>
        <v>111.3882</v>
      </c>
      <c r="D95" s="164">
        <f t="shared" si="61"/>
        <v>1</v>
      </c>
      <c r="E95" s="163">
        <f t="shared" si="61"/>
        <v>2</v>
      </c>
      <c r="F95" s="191">
        <f t="shared" si="61"/>
        <v>5.57E-2</v>
      </c>
      <c r="G95" s="193">
        <f t="shared" si="56"/>
        <v>2.7736988316446714E-5</v>
      </c>
      <c r="H95" s="203">
        <f t="shared" si="57"/>
        <v>4.6523618376812992E-6</v>
      </c>
      <c r="I95" s="192">
        <f t="shared" si="58"/>
        <v>5.182182108480121E-4</v>
      </c>
      <c r="J95" s="193">
        <f t="shared" si="59"/>
        <v>18.683290519350773</v>
      </c>
      <c r="K95" s="192"/>
      <c r="L95" s="193">
        <f t="shared" si="60"/>
        <v>5.7850042870323716E-6</v>
      </c>
      <c r="M95" s="145"/>
      <c r="N95" s="145"/>
      <c r="O95" s="145"/>
    </row>
    <row r="96" spans="1:15" s="143" customFormat="1" ht="20.100000000000001" customHeight="1" x14ac:dyDescent="0.25">
      <c r="A96" s="269"/>
      <c r="B96" s="161" t="s">
        <v>64</v>
      </c>
      <c r="C96" s="170">
        <f t="shared" ref="C96:F96" si="62">C79</f>
        <v>94.485900000000001</v>
      </c>
      <c r="D96" s="164">
        <f t="shared" si="62"/>
        <v>1</v>
      </c>
      <c r="E96" s="163">
        <f t="shared" si="62"/>
        <v>2</v>
      </c>
      <c r="F96" s="191">
        <f t="shared" si="62"/>
        <v>5.57E-2</v>
      </c>
      <c r="G96" s="193">
        <f t="shared" si="56"/>
        <v>8.5730092327627213E-6</v>
      </c>
      <c r="H96" s="203">
        <f t="shared" si="57"/>
        <v>5.2889085137196106E-7</v>
      </c>
      <c r="I96" s="192">
        <f t="shared" si="58"/>
        <v>4.9972728093645977E-5</v>
      </c>
      <c r="J96" s="193">
        <f t="shared" si="59"/>
        <v>5.8290766680466835</v>
      </c>
      <c r="K96" s="192"/>
      <c r="L96" s="193">
        <f t="shared" si="60"/>
        <v>-1.3378974796651621E-5</v>
      </c>
      <c r="M96" s="146"/>
      <c r="N96" s="146"/>
      <c r="O96" s="146"/>
    </row>
    <row r="97" spans="1:15" s="143" customFormat="1" ht="20.100000000000001" customHeight="1" x14ac:dyDescent="0.25">
      <c r="A97" s="269"/>
      <c r="B97" s="161" t="s">
        <v>65</v>
      </c>
      <c r="C97" s="170">
        <f t="shared" ref="C97:F97" si="63">C80</f>
        <v>75.623900000000006</v>
      </c>
      <c r="D97" s="164">
        <f t="shared" si="63"/>
        <v>1</v>
      </c>
      <c r="E97" s="163">
        <f t="shared" si="63"/>
        <v>2</v>
      </c>
      <c r="F97" s="191">
        <f t="shared" si="63"/>
        <v>5.57E-2</v>
      </c>
      <c r="G97" s="193">
        <f t="shared" si="56"/>
        <v>7.6829838733567671E-6</v>
      </c>
      <c r="H97" s="203">
        <f t="shared" si="57"/>
        <v>4.3172944157736317E-7</v>
      </c>
      <c r="I97" s="192">
        <f t="shared" si="58"/>
        <v>3.2649064116902358E-5</v>
      </c>
      <c r="J97" s="193">
        <f t="shared" si="59"/>
        <v>4.2495291744817472</v>
      </c>
      <c r="K97" s="192"/>
      <c r="L97" s="193">
        <f t="shared" si="60"/>
        <v>-1.4269000156057576E-5</v>
      </c>
      <c r="M97" s="146"/>
      <c r="N97" s="146"/>
      <c r="O97" s="146"/>
    </row>
    <row r="98" spans="1:15" s="143" customFormat="1" ht="20.100000000000001" customHeight="1" x14ac:dyDescent="0.25">
      <c r="A98" s="269"/>
      <c r="B98" s="161" t="s">
        <v>61</v>
      </c>
      <c r="C98" s="170">
        <f t="shared" ref="C98:F98" si="64">C81</f>
        <v>33.049199999999999</v>
      </c>
      <c r="D98" s="164">
        <f t="shared" si="64"/>
        <v>1</v>
      </c>
      <c r="E98" s="163">
        <f t="shared" si="64"/>
        <v>2</v>
      </c>
      <c r="F98" s="191">
        <f t="shared" si="64"/>
        <v>5.57E-2</v>
      </c>
      <c r="G98" s="193">
        <f t="shared" si="56"/>
        <v>1.8886051022147819E-5</v>
      </c>
      <c r="H98" s="203">
        <f t="shared" si="57"/>
        <v>2.2833148900757301E-6</v>
      </c>
      <c r="I98" s="192">
        <f t="shared" si="58"/>
        <v>7.5461730465090814E-5</v>
      </c>
      <c r="J98" s="193">
        <f t="shared" si="59"/>
        <v>3.9956330932600075</v>
      </c>
      <c r="K98" s="192"/>
      <c r="L98" s="193">
        <f t="shared" si="60"/>
        <v>-3.0659330072665237E-6</v>
      </c>
      <c r="M98" s="146"/>
      <c r="N98" s="146"/>
      <c r="O98" s="146"/>
    </row>
    <row r="99" spans="1:15" s="143" customFormat="1" ht="20.100000000000001" customHeight="1" x14ac:dyDescent="0.25">
      <c r="A99" s="269"/>
      <c r="B99" s="161" t="s">
        <v>143</v>
      </c>
      <c r="C99" s="170">
        <f t="shared" ref="C99:F99" si="65">C82</f>
        <v>26.0762</v>
      </c>
      <c r="D99" s="164">
        <f t="shared" si="65"/>
        <v>1</v>
      </c>
      <c r="E99" s="163">
        <f t="shared" si="65"/>
        <v>2</v>
      </c>
      <c r="F99" s="191">
        <f t="shared" si="65"/>
        <v>5.57E-2</v>
      </c>
      <c r="G99" s="193">
        <f t="shared" si="56"/>
        <v>1.3200043190685507E-5</v>
      </c>
      <c r="H99" s="203">
        <f t="shared" si="57"/>
        <v>1.1761994774810528E-6</v>
      </c>
      <c r="I99" s="192">
        <f t="shared" si="58"/>
        <v>3.0670812814691431E-5</v>
      </c>
      <c r="J99" s="193">
        <f t="shared" si="59"/>
        <v>2.3235388226861269</v>
      </c>
      <c r="K99" s="192"/>
      <c r="L99" s="193">
        <f t="shared" si="60"/>
        <v>-8.7519408387288356E-6</v>
      </c>
      <c r="M99" s="146"/>
      <c r="N99" s="146"/>
      <c r="O99" s="146"/>
    </row>
    <row r="100" spans="1:15" s="143" customFormat="1" ht="20.100000000000001" customHeight="1" x14ac:dyDescent="0.25">
      <c r="A100" s="269"/>
      <c r="B100" s="161" t="s">
        <v>141</v>
      </c>
      <c r="C100" s="170">
        <f t="shared" ref="C100:F100" si="66">C83</f>
        <v>17.547599999999999</v>
      </c>
      <c r="D100" s="164">
        <f t="shared" si="66"/>
        <v>1</v>
      </c>
      <c r="E100" s="163">
        <f t="shared" si="66"/>
        <v>2</v>
      </c>
      <c r="F100" s="191">
        <f t="shared" si="66"/>
        <v>5.57E-2</v>
      </c>
      <c r="G100" s="193">
        <f t="shared" si="56"/>
        <v>6.9025484664684333E-5</v>
      </c>
      <c r="H100" s="203">
        <f t="shared" si="57"/>
        <v>2.517181456965454E-5</v>
      </c>
      <c r="I100" s="192">
        <f t="shared" si="58"/>
        <v>4.4170493334247E-4</v>
      </c>
      <c r="J100" s="193">
        <f t="shared" si="59"/>
        <v>6.3991572893433153</v>
      </c>
      <c r="K100" s="192"/>
      <c r="L100" s="193">
        <f t="shared" si="60"/>
        <v>4.707350063526999E-5</v>
      </c>
      <c r="M100" s="146"/>
      <c r="N100" s="146"/>
      <c r="O100" s="146"/>
    </row>
    <row r="101" spans="1:15" s="143" customFormat="1" ht="20.100000000000001" customHeight="1" x14ac:dyDescent="0.25">
      <c r="A101" s="269"/>
      <c r="B101" s="161" t="s">
        <v>85</v>
      </c>
      <c r="C101" s="170">
        <f t="shared" ref="C101:F101" si="67">C84</f>
        <v>95.631299999999982</v>
      </c>
      <c r="D101" s="164">
        <f t="shared" si="67"/>
        <v>1</v>
      </c>
      <c r="E101" s="163">
        <f t="shared" si="67"/>
        <v>2</v>
      </c>
      <c r="F101" s="191">
        <f t="shared" si="67"/>
        <v>5.57E-2</v>
      </c>
      <c r="G101" s="193">
        <f t="shared" si="56"/>
        <v>6.6006476911898568E-5</v>
      </c>
      <c r="H101" s="203">
        <f t="shared" si="57"/>
        <v>2.3171074238617646E-5</v>
      </c>
      <c r="I101" s="192">
        <f t="shared" si="58"/>
        <v>2.2158799518355154E-3</v>
      </c>
      <c r="J101" s="193">
        <f t="shared" si="59"/>
        <v>33.570644208039418</v>
      </c>
      <c r="K101" s="192"/>
      <c r="L101" s="193">
        <f t="shared" si="60"/>
        <v>4.4054492882484225E-5</v>
      </c>
      <c r="M101" s="146"/>
      <c r="N101" s="146"/>
      <c r="O101" s="146"/>
    </row>
    <row r="102" spans="1:15" s="143" customFormat="1" ht="20.100000000000001" customHeight="1" x14ac:dyDescent="0.25">
      <c r="A102" s="269"/>
      <c r="B102" s="161" t="s">
        <v>86</v>
      </c>
      <c r="C102" s="170">
        <f t="shared" ref="C102:F102" si="68">C85</f>
        <v>4.4747000000000003</v>
      </c>
      <c r="D102" s="164">
        <f t="shared" si="68"/>
        <v>1</v>
      </c>
      <c r="E102" s="163">
        <f t="shared" si="68"/>
        <v>2</v>
      </c>
      <c r="F102" s="191">
        <f t="shared" si="68"/>
        <v>5.57E-2</v>
      </c>
      <c r="G102" s="193">
        <f t="shared" si="56"/>
        <v>4.955342144511209E-5</v>
      </c>
      <c r="H102" s="203">
        <f t="shared" si="57"/>
        <v>1.3625947500166677E-5</v>
      </c>
      <c r="I102" s="192">
        <f t="shared" si="58"/>
        <v>6.0972027278995833E-5</v>
      </c>
      <c r="J102" s="193">
        <f t="shared" si="59"/>
        <v>1.23043022057582</v>
      </c>
      <c r="K102" s="192"/>
      <c r="L102" s="193">
        <f t="shared" si="60"/>
        <v>2.7601437415697747E-5</v>
      </c>
      <c r="M102" s="146"/>
      <c r="N102" s="146"/>
      <c r="O102" s="146"/>
    </row>
    <row r="103" spans="1:15" s="143" customFormat="1" ht="20.100000000000001" customHeight="1" thickBot="1" x14ac:dyDescent="0.3">
      <c r="A103" s="269"/>
      <c r="B103" s="206" t="s">
        <v>142</v>
      </c>
      <c r="C103" s="194">
        <f t="shared" ref="C103:F103" si="69">C86</f>
        <v>44.459099999999999</v>
      </c>
      <c r="D103" s="174">
        <f t="shared" si="69"/>
        <v>1</v>
      </c>
      <c r="E103" s="165">
        <f t="shared" si="69"/>
        <v>2</v>
      </c>
      <c r="F103" s="195">
        <f t="shared" si="69"/>
        <v>5.57E-2</v>
      </c>
      <c r="G103" s="197">
        <f t="shared" si="56"/>
        <v>4.8783563801252494E-5</v>
      </c>
      <c r="H103" s="298">
        <f t="shared" si="57"/>
        <v>1.323652220204451E-5</v>
      </c>
      <c r="I103" s="295">
        <f t="shared" si="58"/>
        <v>5.8848386423291711E-4</v>
      </c>
      <c r="J103" s="296">
        <f t="shared" si="59"/>
        <v>12.063158539020227</v>
      </c>
      <c r="K103" s="196"/>
      <c r="L103" s="197">
        <f t="shared" si="60"/>
        <v>2.6831579771838151E-5</v>
      </c>
      <c r="M103" s="146"/>
      <c r="N103" s="146"/>
      <c r="O103" s="146"/>
    </row>
    <row r="104" spans="1:15" s="143" customFormat="1" ht="45" customHeight="1" thickBot="1" x14ac:dyDescent="0.3">
      <c r="A104" s="269"/>
      <c r="B104" s="623" t="s">
        <v>55</v>
      </c>
      <c r="C104" s="624"/>
      <c r="D104" s="624"/>
      <c r="E104" s="624"/>
      <c r="F104" s="624"/>
      <c r="G104" s="624"/>
      <c r="H104" s="625"/>
      <c r="I104" s="297">
        <f>SUM(I93:I103)</f>
        <v>4.6437554206566443E-3</v>
      </c>
      <c r="J104" s="297">
        <f>SUM(J93:J103)</f>
        <v>114.34675161280973</v>
      </c>
      <c r="K104" s="198"/>
      <c r="L104" s="267"/>
      <c r="M104" s="146"/>
      <c r="N104" s="146"/>
      <c r="O104" s="146"/>
    </row>
    <row r="105" spans="1:15" s="143" customFormat="1" ht="30" customHeight="1" thickBot="1" x14ac:dyDescent="0.3">
      <c r="A105" s="269"/>
      <c r="B105" s="199"/>
      <c r="C105" s="199"/>
      <c r="D105" s="199"/>
      <c r="E105" s="199"/>
      <c r="F105" s="199"/>
      <c r="G105" s="199"/>
      <c r="H105" s="199"/>
      <c r="I105" s="33"/>
      <c r="J105" s="33"/>
      <c r="K105" s="198"/>
      <c r="L105" s="267"/>
      <c r="M105" s="146"/>
      <c r="N105" s="146"/>
      <c r="O105" s="146"/>
    </row>
    <row r="106" spans="1:15" s="143" customFormat="1" ht="20.100000000000001" customHeight="1" x14ac:dyDescent="0.25">
      <c r="A106" s="269"/>
      <c r="B106" s="626" t="s">
        <v>111</v>
      </c>
      <c r="C106" s="627"/>
      <c r="D106" s="627"/>
      <c r="E106" s="627"/>
      <c r="F106" s="627"/>
      <c r="G106" s="627"/>
      <c r="H106" s="627"/>
      <c r="I106" s="627"/>
      <c r="J106" s="627"/>
      <c r="K106" s="627"/>
      <c r="L106" s="628"/>
      <c r="M106" s="22"/>
      <c r="N106" s="22"/>
      <c r="O106" s="146"/>
    </row>
    <row r="107" spans="1:15" s="143" customFormat="1" ht="20.100000000000001" customHeight="1" thickBot="1" x14ac:dyDescent="0.3">
      <c r="A107" s="269"/>
      <c r="B107" s="629"/>
      <c r="C107" s="630"/>
      <c r="D107" s="630"/>
      <c r="E107" s="630"/>
      <c r="F107" s="630"/>
      <c r="G107" s="630"/>
      <c r="H107" s="630"/>
      <c r="I107" s="630"/>
      <c r="J107" s="630"/>
      <c r="K107" s="630"/>
      <c r="L107" s="631"/>
      <c r="M107" s="22"/>
      <c r="N107" s="22"/>
      <c r="O107" s="146"/>
    </row>
    <row r="108" spans="1:15" s="143" customFormat="1" ht="20.100000000000001" customHeight="1" x14ac:dyDescent="0.25">
      <c r="A108" s="269"/>
      <c r="B108" s="634" t="s">
        <v>29</v>
      </c>
      <c r="C108" s="154" t="s">
        <v>97</v>
      </c>
      <c r="D108" s="636" t="s">
        <v>101</v>
      </c>
      <c r="E108" s="636"/>
      <c r="F108" s="637"/>
      <c r="G108" s="270" t="s">
        <v>112</v>
      </c>
      <c r="H108" s="154" t="s">
        <v>98</v>
      </c>
      <c r="I108" s="154" t="s">
        <v>96</v>
      </c>
      <c r="J108" s="634" t="s">
        <v>113</v>
      </c>
      <c r="K108" s="634" t="s">
        <v>114</v>
      </c>
      <c r="L108" s="638" t="s">
        <v>115</v>
      </c>
      <c r="M108" s="22"/>
      <c r="N108" s="22"/>
      <c r="O108" s="146"/>
    </row>
    <row r="109" spans="1:15" s="143" customFormat="1" ht="20.100000000000001" customHeight="1" thickBot="1" x14ac:dyDescent="0.3">
      <c r="A109" s="269"/>
      <c r="B109" s="635"/>
      <c r="C109" s="155" t="s">
        <v>104</v>
      </c>
      <c r="D109" s="157" t="s">
        <v>107</v>
      </c>
      <c r="E109" s="157" t="s">
        <v>107</v>
      </c>
      <c r="F109" s="156" t="s">
        <v>104</v>
      </c>
      <c r="G109" s="187" t="s">
        <v>106</v>
      </c>
      <c r="H109" s="155" t="s">
        <v>105</v>
      </c>
      <c r="I109" s="155" t="s">
        <v>104</v>
      </c>
      <c r="J109" s="635"/>
      <c r="K109" s="635"/>
      <c r="L109" s="639"/>
      <c r="M109" s="22"/>
      <c r="N109" s="22"/>
      <c r="O109" s="146"/>
    </row>
    <row r="110" spans="1:15" s="143" customFormat="1" ht="20.100000000000001" customHeight="1" x14ac:dyDescent="0.25">
      <c r="A110" s="269"/>
      <c r="B110" s="158" t="s">
        <v>37</v>
      </c>
      <c r="C110" s="169">
        <f>C93</f>
        <v>96.975099999999998</v>
      </c>
      <c r="D110" s="159">
        <f>D93</f>
        <v>1</v>
      </c>
      <c r="E110" s="160">
        <f>E93</f>
        <v>2</v>
      </c>
      <c r="F110" s="188">
        <f>F93</f>
        <v>5.57E-2</v>
      </c>
      <c r="G110" s="200">
        <f>ABS(L93)</f>
        <v>4.6335021395071339E-6</v>
      </c>
      <c r="H110" s="201">
        <f>ABS((G110)/(0.2785*150*(F110^2.63)))^(1/0.54)</f>
        <v>1.6924152775077653E-7</v>
      </c>
      <c r="I110" s="189">
        <f>H110*C110</f>
        <v>1.641221407778433E-5</v>
      </c>
      <c r="J110" s="200">
        <f>I110/G110</f>
        <v>3.5420754288310525</v>
      </c>
      <c r="K110" s="202">
        <f>(-I121)/(1.85*J121)</f>
        <v>-1.4316832815412923E-5</v>
      </c>
      <c r="L110" s="200">
        <f>G110+$K$110</f>
        <v>-9.6833306759057896E-6</v>
      </c>
      <c r="M110" s="22"/>
      <c r="N110" s="22"/>
      <c r="O110" s="146"/>
    </row>
    <row r="111" spans="1:15" s="143" customFormat="1" ht="20.100000000000001" customHeight="1" x14ac:dyDescent="0.25">
      <c r="A111" s="269"/>
      <c r="B111" s="161" t="s">
        <v>38</v>
      </c>
      <c r="C111" s="170">
        <f t="shared" ref="C111:F111" si="70">C94</f>
        <v>86.260599999999997</v>
      </c>
      <c r="D111" s="164">
        <f t="shared" si="70"/>
        <v>1</v>
      </c>
      <c r="E111" s="163">
        <f t="shared" si="70"/>
        <v>2</v>
      </c>
      <c r="F111" s="191">
        <f t="shared" si="70"/>
        <v>5.57E-2</v>
      </c>
      <c r="G111" s="193">
        <f t="shared" ref="G111:G120" si="71">ABS(L94)</f>
        <v>7.2390877867055473E-6</v>
      </c>
      <c r="H111" s="203">
        <f t="shared" ref="H111:H120" si="72">ABS((G111)/(0.2785*150*(F111^2.63)))^(1/0.54)</f>
        <v>3.866771937444661E-7</v>
      </c>
      <c r="I111" s="192">
        <f t="shared" ref="I111:I120" si="73">H111*C111</f>
        <v>3.3355006738713891E-5</v>
      </c>
      <c r="J111" s="193">
        <f t="shared" ref="J111:J120" si="74">I111/G111</f>
        <v>4.6076256734957344</v>
      </c>
      <c r="K111" s="192"/>
      <c r="L111" s="193">
        <f t="shared" ref="L111:L120" si="75">G111+$K$110</f>
        <v>-7.0777450287073761E-6</v>
      </c>
      <c r="M111" s="22"/>
      <c r="N111" s="22"/>
      <c r="O111" s="146"/>
    </row>
    <row r="112" spans="1:15" s="143" customFormat="1" ht="20.100000000000001" customHeight="1" x14ac:dyDescent="0.25">
      <c r="A112" s="269"/>
      <c r="B112" s="161" t="s">
        <v>39</v>
      </c>
      <c r="C112" s="170">
        <f t="shared" ref="C112:F112" si="76">C95</f>
        <v>111.3882</v>
      </c>
      <c r="D112" s="164">
        <f t="shared" si="76"/>
        <v>1</v>
      </c>
      <c r="E112" s="163">
        <f t="shared" si="76"/>
        <v>2</v>
      </c>
      <c r="F112" s="191">
        <f t="shared" si="76"/>
        <v>5.57E-2</v>
      </c>
      <c r="G112" s="193">
        <f t="shared" si="71"/>
        <v>5.7850042870323716E-6</v>
      </c>
      <c r="H112" s="203">
        <f t="shared" si="72"/>
        <v>2.5527890713710276E-7</v>
      </c>
      <c r="I112" s="192">
        <f t="shared" si="73"/>
        <v>2.8435057963969031E-5</v>
      </c>
      <c r="J112" s="193">
        <f t="shared" si="74"/>
        <v>4.9153045621260603</v>
      </c>
      <c r="K112" s="192"/>
      <c r="L112" s="193">
        <f t="shared" si="75"/>
        <v>-8.5318285283805519E-6</v>
      </c>
      <c r="M112" s="22"/>
      <c r="N112" s="22"/>
      <c r="O112" s="146"/>
    </row>
    <row r="113" spans="1:15" s="143" customFormat="1" ht="20.100000000000001" customHeight="1" x14ac:dyDescent="0.25">
      <c r="A113" s="269"/>
      <c r="B113" s="161" t="s">
        <v>64</v>
      </c>
      <c r="C113" s="170">
        <f t="shared" ref="C113:F113" si="77">C96</f>
        <v>94.485900000000001</v>
      </c>
      <c r="D113" s="164">
        <f t="shared" si="77"/>
        <v>1</v>
      </c>
      <c r="E113" s="163">
        <f t="shared" si="77"/>
        <v>2</v>
      </c>
      <c r="F113" s="191">
        <f t="shared" si="77"/>
        <v>5.57E-2</v>
      </c>
      <c r="G113" s="193">
        <f t="shared" si="71"/>
        <v>1.3378974796651621E-5</v>
      </c>
      <c r="H113" s="203">
        <f t="shared" si="72"/>
        <v>1.2058954460062384E-6</v>
      </c>
      <c r="I113" s="192">
        <f t="shared" si="73"/>
        <v>1.1394011652180084E-4</v>
      </c>
      <c r="J113" s="193">
        <f t="shared" si="74"/>
        <v>8.5163563168021543</v>
      </c>
      <c r="K113" s="192"/>
      <c r="L113" s="193">
        <f t="shared" si="75"/>
        <v>-9.3785801876130211E-7</v>
      </c>
      <c r="M113" s="22"/>
      <c r="N113" s="22"/>
      <c r="O113" s="146"/>
    </row>
    <row r="114" spans="1:15" s="143" customFormat="1" ht="20.100000000000001" customHeight="1" x14ac:dyDescent="0.25">
      <c r="A114" s="269"/>
      <c r="B114" s="161" t="s">
        <v>65</v>
      </c>
      <c r="C114" s="170">
        <f t="shared" ref="C114:F114" si="78">C97</f>
        <v>75.623900000000006</v>
      </c>
      <c r="D114" s="164">
        <f t="shared" si="78"/>
        <v>1</v>
      </c>
      <c r="E114" s="163">
        <f t="shared" si="78"/>
        <v>2</v>
      </c>
      <c r="F114" s="191">
        <f t="shared" si="78"/>
        <v>5.57E-2</v>
      </c>
      <c r="G114" s="193">
        <f t="shared" si="71"/>
        <v>1.4269000156057576E-5</v>
      </c>
      <c r="H114" s="203">
        <f t="shared" si="72"/>
        <v>1.3586489603737729E-6</v>
      </c>
      <c r="I114" s="192">
        <f t="shared" si="73"/>
        <v>1.0274633311441017E-4</v>
      </c>
      <c r="J114" s="193">
        <f t="shared" si="74"/>
        <v>7.2006680209328877</v>
      </c>
      <c r="K114" s="192"/>
      <c r="L114" s="193">
        <f t="shared" si="75"/>
        <v>-4.783265935534788E-8</v>
      </c>
      <c r="M114" s="22"/>
      <c r="N114" s="22"/>
      <c r="O114" s="146"/>
    </row>
    <row r="115" spans="1:15" s="143" customFormat="1" ht="20.100000000000001" customHeight="1" x14ac:dyDescent="0.25">
      <c r="A115" s="269"/>
      <c r="B115" s="161" t="s">
        <v>61</v>
      </c>
      <c r="C115" s="170">
        <f t="shared" ref="C115:F115" si="79">C98</f>
        <v>33.049199999999999</v>
      </c>
      <c r="D115" s="164">
        <f t="shared" si="79"/>
        <v>1</v>
      </c>
      <c r="E115" s="163">
        <f t="shared" si="79"/>
        <v>2</v>
      </c>
      <c r="F115" s="191">
        <f t="shared" si="79"/>
        <v>5.57E-2</v>
      </c>
      <c r="G115" s="193">
        <f t="shared" si="71"/>
        <v>3.0659330072665237E-6</v>
      </c>
      <c r="H115" s="203">
        <f t="shared" si="72"/>
        <v>7.8774091973222328E-8</v>
      </c>
      <c r="I115" s="192">
        <f t="shared" si="73"/>
        <v>2.6034207204414195E-6</v>
      </c>
      <c r="J115" s="193">
        <f t="shared" si="74"/>
        <v>0.8491446858985795</v>
      </c>
      <c r="K115" s="192"/>
      <c r="L115" s="193">
        <f t="shared" si="75"/>
        <v>-1.12508998081464E-5</v>
      </c>
      <c r="M115" s="22"/>
      <c r="N115" s="22"/>
      <c r="O115" s="146"/>
    </row>
    <row r="116" spans="1:15" s="143" customFormat="1" ht="20.100000000000001" customHeight="1" x14ac:dyDescent="0.25">
      <c r="A116" s="269"/>
      <c r="B116" s="161" t="s">
        <v>143</v>
      </c>
      <c r="C116" s="170">
        <f t="shared" ref="C116:F116" si="80">C99</f>
        <v>26.0762</v>
      </c>
      <c r="D116" s="164">
        <f t="shared" si="80"/>
        <v>1</v>
      </c>
      <c r="E116" s="163">
        <f t="shared" si="80"/>
        <v>2</v>
      </c>
      <c r="F116" s="191">
        <f t="shared" si="80"/>
        <v>5.57E-2</v>
      </c>
      <c r="G116" s="193">
        <f t="shared" si="71"/>
        <v>8.7519408387288356E-6</v>
      </c>
      <c r="H116" s="203">
        <f t="shared" si="72"/>
        <v>5.4951451597918726E-7</v>
      </c>
      <c r="I116" s="192">
        <f t="shared" si="73"/>
        <v>1.4329250421576484E-5</v>
      </c>
      <c r="J116" s="193">
        <f t="shared" si="74"/>
        <v>1.6372654575276719</v>
      </c>
      <c r="K116" s="192"/>
      <c r="L116" s="193">
        <f t="shared" si="75"/>
        <v>-5.5648919766840879E-6</v>
      </c>
      <c r="M116" s="22"/>
      <c r="N116" s="22"/>
      <c r="O116" s="146"/>
    </row>
    <row r="117" spans="1:15" s="143" customFormat="1" ht="20.100000000000001" customHeight="1" x14ac:dyDescent="0.25">
      <c r="A117" s="269"/>
      <c r="B117" s="161" t="s">
        <v>141</v>
      </c>
      <c r="C117" s="170">
        <f t="shared" ref="C117:F117" si="81">C100</f>
        <v>17.547599999999999</v>
      </c>
      <c r="D117" s="164">
        <f t="shared" si="81"/>
        <v>1</v>
      </c>
      <c r="E117" s="163">
        <f t="shared" si="81"/>
        <v>2</v>
      </c>
      <c r="F117" s="191">
        <f t="shared" si="81"/>
        <v>5.57E-2</v>
      </c>
      <c r="G117" s="193">
        <f t="shared" si="71"/>
        <v>4.707350063526999E-5</v>
      </c>
      <c r="H117" s="203">
        <f t="shared" si="72"/>
        <v>1.239012513920759E-5</v>
      </c>
      <c r="I117" s="192">
        <f t="shared" si="73"/>
        <v>2.1741695989275909E-4</v>
      </c>
      <c r="J117" s="193">
        <f t="shared" si="74"/>
        <v>4.6186698877002286</v>
      </c>
      <c r="K117" s="192"/>
      <c r="L117" s="193">
        <f t="shared" si="75"/>
        <v>3.2756667819857068E-5</v>
      </c>
      <c r="M117" s="22"/>
      <c r="N117" s="22"/>
      <c r="O117" s="146"/>
    </row>
    <row r="118" spans="1:15" s="143" customFormat="1" ht="20.100000000000001" customHeight="1" x14ac:dyDescent="0.25">
      <c r="A118" s="269"/>
      <c r="B118" s="161" t="s">
        <v>85</v>
      </c>
      <c r="C118" s="170">
        <f t="shared" ref="C118:F118" si="82">C101</f>
        <v>95.631299999999982</v>
      </c>
      <c r="D118" s="164">
        <f t="shared" si="82"/>
        <v>1</v>
      </c>
      <c r="E118" s="163">
        <f t="shared" si="82"/>
        <v>2</v>
      </c>
      <c r="F118" s="191">
        <f t="shared" si="82"/>
        <v>5.57E-2</v>
      </c>
      <c r="G118" s="193">
        <f t="shared" si="71"/>
        <v>4.4054492882484225E-5</v>
      </c>
      <c r="H118" s="203">
        <f t="shared" si="72"/>
        <v>1.0958919810587569E-5</v>
      </c>
      <c r="I118" s="192">
        <f t="shared" si="73"/>
        <v>1.0480157480822429E-3</v>
      </c>
      <c r="J118" s="193">
        <f t="shared" si="74"/>
        <v>23.789077560779891</v>
      </c>
      <c r="K118" s="192"/>
      <c r="L118" s="193">
        <f t="shared" si="75"/>
        <v>2.9737660067071303E-5</v>
      </c>
      <c r="M118" s="22"/>
      <c r="N118" s="22"/>
      <c r="O118" s="146"/>
    </row>
    <row r="119" spans="1:15" s="143" customFormat="1" ht="20.100000000000001" customHeight="1" x14ac:dyDescent="0.25">
      <c r="A119" s="269"/>
      <c r="B119" s="161" t="s">
        <v>86</v>
      </c>
      <c r="C119" s="170">
        <f t="shared" ref="C119:F119" si="83">C102</f>
        <v>4.4747000000000003</v>
      </c>
      <c r="D119" s="164">
        <f t="shared" si="83"/>
        <v>1</v>
      </c>
      <c r="E119" s="163">
        <f t="shared" si="83"/>
        <v>2</v>
      </c>
      <c r="F119" s="191">
        <f t="shared" si="83"/>
        <v>5.57E-2</v>
      </c>
      <c r="G119" s="193">
        <f t="shared" si="71"/>
        <v>2.7601437415697747E-5</v>
      </c>
      <c r="H119" s="203">
        <f t="shared" si="72"/>
        <v>4.6103455495653272E-6</v>
      </c>
      <c r="I119" s="192">
        <f t="shared" si="73"/>
        <v>2.0629913230639973E-5</v>
      </c>
      <c r="J119" s="193">
        <f t="shared" si="74"/>
        <v>0.74742169836803996</v>
      </c>
      <c r="K119" s="192"/>
      <c r="L119" s="193">
        <f t="shared" si="75"/>
        <v>1.3284604600284824E-5</v>
      </c>
      <c r="M119" s="22"/>
      <c r="N119" s="22"/>
      <c r="O119" s="146"/>
    </row>
    <row r="120" spans="1:15" s="143" customFormat="1" ht="20.100000000000001" customHeight="1" thickBot="1" x14ac:dyDescent="0.3">
      <c r="A120" s="269"/>
      <c r="B120" s="206" t="s">
        <v>142</v>
      </c>
      <c r="C120" s="194">
        <f t="shared" ref="C120:F120" si="84">C103</f>
        <v>44.459099999999999</v>
      </c>
      <c r="D120" s="174">
        <f t="shared" si="84"/>
        <v>1</v>
      </c>
      <c r="E120" s="165">
        <f t="shared" si="84"/>
        <v>2</v>
      </c>
      <c r="F120" s="195">
        <f t="shared" si="84"/>
        <v>5.57E-2</v>
      </c>
      <c r="G120" s="197">
        <f t="shared" si="71"/>
        <v>2.6831579771838151E-5</v>
      </c>
      <c r="H120" s="298">
        <f t="shared" si="72"/>
        <v>4.3750460912694099E-6</v>
      </c>
      <c r="I120" s="295">
        <f t="shared" si="73"/>
        <v>1.9451061167635581E-4</v>
      </c>
      <c r="J120" s="296">
        <f t="shared" si="74"/>
        <v>7.2493164148504574</v>
      </c>
      <c r="K120" s="196"/>
      <c r="L120" s="197">
        <f t="shared" si="75"/>
        <v>1.2514746956425228E-5</v>
      </c>
      <c r="M120" s="22"/>
      <c r="N120" s="22"/>
      <c r="O120" s="145"/>
    </row>
    <row r="121" spans="1:15" s="143" customFormat="1" ht="45" customHeight="1" thickBot="1" x14ac:dyDescent="0.3">
      <c r="A121" s="269"/>
      <c r="B121" s="623" t="s">
        <v>55</v>
      </c>
      <c r="C121" s="624"/>
      <c r="D121" s="624"/>
      <c r="E121" s="624"/>
      <c r="F121" s="624"/>
      <c r="G121" s="624"/>
      <c r="H121" s="625"/>
      <c r="I121" s="297">
        <f>SUM(I110:I120)</f>
        <v>1.7923946324406939E-3</v>
      </c>
      <c r="J121" s="297">
        <f>SUM(J110:J120)</f>
        <v>67.672925707312757</v>
      </c>
      <c r="K121" s="198"/>
      <c r="L121" s="267"/>
      <c r="M121" s="22"/>
      <c r="N121" s="22"/>
      <c r="O121" s="146"/>
    </row>
    <row r="122" spans="1:15" s="143" customFormat="1" ht="30" customHeight="1" thickBot="1" x14ac:dyDescent="0.3">
      <c r="A122" s="269"/>
      <c r="B122" s="199"/>
      <c r="C122" s="199"/>
      <c r="D122" s="199"/>
      <c r="E122" s="199"/>
      <c r="F122" s="199"/>
      <c r="G122" s="199"/>
      <c r="H122" s="199"/>
      <c r="I122" s="33"/>
      <c r="J122" s="33"/>
      <c r="K122" s="198"/>
      <c r="L122" s="267"/>
      <c r="M122" s="22"/>
      <c r="N122" s="22"/>
      <c r="O122" s="146"/>
    </row>
    <row r="123" spans="1:15" s="143" customFormat="1" ht="20.100000000000001" customHeight="1" x14ac:dyDescent="0.25">
      <c r="A123" s="269"/>
      <c r="B123" s="626" t="s">
        <v>111</v>
      </c>
      <c r="C123" s="627"/>
      <c r="D123" s="627"/>
      <c r="E123" s="627"/>
      <c r="F123" s="627"/>
      <c r="G123" s="627"/>
      <c r="H123" s="627"/>
      <c r="I123" s="627"/>
      <c r="J123" s="627"/>
      <c r="K123" s="627"/>
      <c r="L123" s="628"/>
      <c r="M123" s="22"/>
      <c r="N123" s="22"/>
      <c r="O123" s="146"/>
    </row>
    <row r="124" spans="1:15" s="143" customFormat="1" ht="20.100000000000001" customHeight="1" thickBot="1" x14ac:dyDescent="0.3">
      <c r="A124" s="269"/>
      <c r="B124" s="629"/>
      <c r="C124" s="630"/>
      <c r="D124" s="630"/>
      <c r="E124" s="630"/>
      <c r="F124" s="630"/>
      <c r="G124" s="630"/>
      <c r="H124" s="630"/>
      <c r="I124" s="630"/>
      <c r="J124" s="630"/>
      <c r="K124" s="630"/>
      <c r="L124" s="631"/>
      <c r="M124" s="22"/>
      <c r="N124" s="22"/>
      <c r="O124" s="146"/>
    </row>
    <row r="125" spans="1:15" s="143" customFormat="1" ht="20.100000000000001" customHeight="1" x14ac:dyDescent="0.25">
      <c r="A125" s="269"/>
      <c r="B125" s="634" t="s">
        <v>29</v>
      </c>
      <c r="C125" s="154" t="s">
        <v>97</v>
      </c>
      <c r="D125" s="636" t="s">
        <v>101</v>
      </c>
      <c r="E125" s="636"/>
      <c r="F125" s="637"/>
      <c r="G125" s="270" t="s">
        <v>112</v>
      </c>
      <c r="H125" s="154" t="s">
        <v>98</v>
      </c>
      <c r="I125" s="154" t="s">
        <v>96</v>
      </c>
      <c r="J125" s="634" t="s">
        <v>113</v>
      </c>
      <c r="K125" s="634" t="s">
        <v>114</v>
      </c>
      <c r="L125" s="638" t="s">
        <v>115</v>
      </c>
      <c r="M125" s="22"/>
      <c r="N125" s="22"/>
      <c r="O125" s="146"/>
    </row>
    <row r="126" spans="1:15" s="143" customFormat="1" ht="20.100000000000001" customHeight="1" thickBot="1" x14ac:dyDescent="0.3">
      <c r="A126" s="269"/>
      <c r="B126" s="635"/>
      <c r="C126" s="155" t="s">
        <v>104</v>
      </c>
      <c r="D126" s="157" t="s">
        <v>107</v>
      </c>
      <c r="E126" s="157" t="s">
        <v>107</v>
      </c>
      <c r="F126" s="156" t="s">
        <v>104</v>
      </c>
      <c r="G126" s="187" t="s">
        <v>106</v>
      </c>
      <c r="H126" s="155" t="s">
        <v>105</v>
      </c>
      <c r="I126" s="155" t="s">
        <v>104</v>
      </c>
      <c r="J126" s="635"/>
      <c r="K126" s="635"/>
      <c r="L126" s="639"/>
      <c r="M126" s="22"/>
      <c r="N126" s="22"/>
      <c r="O126" s="146"/>
    </row>
    <row r="127" spans="1:15" s="143" customFormat="1" ht="20.100000000000001" customHeight="1" x14ac:dyDescent="0.25">
      <c r="A127" s="269"/>
      <c r="B127" s="158" t="s">
        <v>37</v>
      </c>
      <c r="C127" s="169">
        <f>C110</f>
        <v>96.975099999999998</v>
      </c>
      <c r="D127" s="159">
        <f>D110</f>
        <v>1</v>
      </c>
      <c r="E127" s="160">
        <f>E110</f>
        <v>2</v>
      </c>
      <c r="F127" s="188">
        <f>F110</f>
        <v>5.57E-2</v>
      </c>
      <c r="G127" s="200">
        <f>ABS(L110)</f>
        <v>9.6833306759057896E-6</v>
      </c>
      <c r="H127" s="201">
        <f>ABS((G127)/(0.2785*150*(F127^2.63)))^(1/0.54)</f>
        <v>6.6269428298504197E-7</v>
      </c>
      <c r="I127" s="189">
        <f>H127*C127</f>
        <v>6.4264844361902737E-5</v>
      </c>
      <c r="J127" s="200">
        <f>I127/G127</f>
        <v>6.6366466779666524</v>
      </c>
      <c r="K127" s="202">
        <f>(-I138)/(1.85*J138)</f>
        <v>-9.8500773773829507E-6</v>
      </c>
      <c r="L127" s="200">
        <f>G127+$K$127</f>
        <v>-1.6674670147716111E-7</v>
      </c>
      <c r="M127" s="22"/>
      <c r="N127" s="22"/>
      <c r="O127" s="146"/>
    </row>
    <row r="128" spans="1:15" s="143" customFormat="1" ht="20.100000000000001" customHeight="1" x14ac:dyDescent="0.25">
      <c r="A128" s="269"/>
      <c r="B128" s="161" t="s">
        <v>38</v>
      </c>
      <c r="C128" s="170">
        <f t="shared" ref="C128:F128" si="85">C111</f>
        <v>86.260599999999997</v>
      </c>
      <c r="D128" s="164">
        <f t="shared" si="85"/>
        <v>1</v>
      </c>
      <c r="E128" s="163">
        <f t="shared" si="85"/>
        <v>2</v>
      </c>
      <c r="F128" s="191">
        <f t="shared" si="85"/>
        <v>5.57E-2</v>
      </c>
      <c r="G128" s="193">
        <f t="shared" ref="G128:G137" si="86">ABS(L111)</f>
        <v>7.0777450287073761E-6</v>
      </c>
      <c r="H128" s="203">
        <f t="shared" ref="H128:H137" si="87">ABS((G128)/(0.2785*150*(F128^2.63)))^(1/0.54)</f>
        <v>3.7086932191148941E-7</v>
      </c>
      <c r="I128" s="192">
        <f t="shared" ref="I128:I137" si="88">H128*C128</f>
        <v>3.1991410229678222E-5</v>
      </c>
      <c r="J128" s="193">
        <f t="shared" ref="J128:J137" si="89">I128/G128</f>
        <v>4.5200003814662537</v>
      </c>
      <c r="K128" s="192"/>
      <c r="L128" s="193">
        <f t="shared" ref="L128:L137" si="90">G128+$K$127</f>
        <v>-2.7723323486755746E-6</v>
      </c>
      <c r="M128" s="22"/>
      <c r="N128" s="22"/>
      <c r="O128" s="146"/>
    </row>
    <row r="129" spans="1:15" s="143" customFormat="1" ht="20.100000000000001" customHeight="1" x14ac:dyDescent="0.25">
      <c r="A129" s="269"/>
      <c r="B129" s="161" t="s">
        <v>39</v>
      </c>
      <c r="C129" s="170">
        <f t="shared" ref="C129:F129" si="91">C112</f>
        <v>111.3882</v>
      </c>
      <c r="D129" s="164">
        <f t="shared" si="91"/>
        <v>1</v>
      </c>
      <c r="E129" s="163">
        <f t="shared" si="91"/>
        <v>2</v>
      </c>
      <c r="F129" s="191">
        <f t="shared" si="91"/>
        <v>5.57E-2</v>
      </c>
      <c r="G129" s="193">
        <f t="shared" si="86"/>
        <v>8.5318285283805519E-6</v>
      </c>
      <c r="H129" s="203">
        <f t="shared" si="87"/>
        <v>5.2419577016011602E-7</v>
      </c>
      <c r="I129" s="192">
        <f t="shared" si="88"/>
        <v>5.8389223285749034E-5</v>
      </c>
      <c r="J129" s="193">
        <f t="shared" si="89"/>
        <v>6.8436939504258936</v>
      </c>
      <c r="K129" s="192"/>
      <c r="L129" s="193">
        <f t="shared" si="90"/>
        <v>-1.3182488490023988E-6</v>
      </c>
      <c r="M129" s="22"/>
      <c r="N129" s="22"/>
      <c r="O129" s="146"/>
    </row>
    <row r="130" spans="1:15" s="143" customFormat="1" ht="20.100000000000001" customHeight="1" x14ac:dyDescent="0.25">
      <c r="A130" s="269"/>
      <c r="B130" s="161" t="s">
        <v>64</v>
      </c>
      <c r="C130" s="170">
        <f t="shared" ref="C130:F130" si="92">C113</f>
        <v>94.485900000000001</v>
      </c>
      <c r="D130" s="164">
        <f t="shared" si="92"/>
        <v>1</v>
      </c>
      <c r="E130" s="163">
        <f t="shared" si="92"/>
        <v>2</v>
      </c>
      <c r="F130" s="191">
        <f t="shared" si="92"/>
        <v>5.57E-2</v>
      </c>
      <c r="G130" s="193">
        <f t="shared" si="86"/>
        <v>9.3785801876130211E-7</v>
      </c>
      <c r="H130" s="203">
        <f t="shared" si="87"/>
        <v>8.7850344852571285E-9</v>
      </c>
      <c r="I130" s="192">
        <f t="shared" si="88"/>
        <v>8.3006188987055657E-7</v>
      </c>
      <c r="J130" s="193">
        <f t="shared" si="89"/>
        <v>0.88506135605353164</v>
      </c>
      <c r="K130" s="192"/>
      <c r="L130" s="193">
        <f t="shared" si="90"/>
        <v>-8.9122193586216486E-6</v>
      </c>
      <c r="M130" s="22"/>
      <c r="N130" s="22"/>
      <c r="O130" s="146"/>
    </row>
    <row r="131" spans="1:15" s="143" customFormat="1" ht="20.100000000000001" customHeight="1" x14ac:dyDescent="0.25">
      <c r="A131" s="269"/>
      <c r="B131" s="161" t="s">
        <v>65</v>
      </c>
      <c r="C131" s="170">
        <f t="shared" ref="C131:F131" si="93">C114</f>
        <v>75.623900000000006</v>
      </c>
      <c r="D131" s="164">
        <f t="shared" si="93"/>
        <v>1</v>
      </c>
      <c r="E131" s="163">
        <f t="shared" si="93"/>
        <v>2</v>
      </c>
      <c r="F131" s="191">
        <f t="shared" si="93"/>
        <v>5.57E-2</v>
      </c>
      <c r="G131" s="193">
        <f t="shared" si="86"/>
        <v>4.783265935534788E-8</v>
      </c>
      <c r="H131" s="203">
        <f t="shared" si="87"/>
        <v>3.5512959119417885E-11</v>
      </c>
      <c r="I131" s="192">
        <f t="shared" si="88"/>
        <v>2.6856284691509462E-9</v>
      </c>
      <c r="J131" s="193">
        <f t="shared" si="89"/>
        <v>5.6146334018342271E-2</v>
      </c>
      <c r="K131" s="192"/>
      <c r="L131" s="193">
        <f t="shared" si="90"/>
        <v>-9.8022447180276028E-6</v>
      </c>
      <c r="M131" s="22"/>
      <c r="N131" s="22"/>
      <c r="O131" s="146"/>
    </row>
    <row r="132" spans="1:15" s="143" customFormat="1" ht="20.100000000000001" customHeight="1" x14ac:dyDescent="0.25">
      <c r="A132" s="269"/>
      <c r="B132" s="161" t="s">
        <v>61</v>
      </c>
      <c r="C132" s="170">
        <f t="shared" ref="C132:F132" si="94">C115</f>
        <v>33.049199999999999</v>
      </c>
      <c r="D132" s="164">
        <f t="shared" si="94"/>
        <v>1</v>
      </c>
      <c r="E132" s="163">
        <f t="shared" si="94"/>
        <v>2</v>
      </c>
      <c r="F132" s="191">
        <f t="shared" si="94"/>
        <v>5.57E-2</v>
      </c>
      <c r="G132" s="193">
        <f t="shared" si="86"/>
        <v>1.12508998081464E-5</v>
      </c>
      <c r="H132" s="203">
        <f t="shared" si="87"/>
        <v>8.7495256746945401E-7</v>
      </c>
      <c r="I132" s="192">
        <f t="shared" si="88"/>
        <v>2.8916482392811479E-5</v>
      </c>
      <c r="J132" s="193">
        <f t="shared" si="89"/>
        <v>2.5701484224287574</v>
      </c>
      <c r="K132" s="192"/>
      <c r="L132" s="193">
        <f t="shared" si="90"/>
        <v>1.4008224307634491E-6</v>
      </c>
      <c r="M132" s="22"/>
      <c r="N132" s="22"/>
      <c r="O132" s="146"/>
    </row>
    <row r="133" spans="1:15" s="143" customFormat="1" ht="20.100000000000001" customHeight="1" x14ac:dyDescent="0.25">
      <c r="A133" s="269"/>
      <c r="B133" s="161" t="s">
        <v>143</v>
      </c>
      <c r="C133" s="170">
        <f t="shared" ref="C133:F133" si="95">C116</f>
        <v>26.0762</v>
      </c>
      <c r="D133" s="164">
        <f t="shared" si="95"/>
        <v>1</v>
      </c>
      <c r="E133" s="163">
        <f t="shared" si="95"/>
        <v>2</v>
      </c>
      <c r="F133" s="191">
        <f t="shared" si="95"/>
        <v>5.57E-2</v>
      </c>
      <c r="G133" s="193">
        <f t="shared" si="86"/>
        <v>5.5648919766840879E-6</v>
      </c>
      <c r="H133" s="203">
        <f t="shared" si="87"/>
        <v>2.3758383182235998E-7</v>
      </c>
      <c r="I133" s="192">
        <f t="shared" si="88"/>
        <v>6.1952835153662234E-6</v>
      </c>
      <c r="J133" s="193">
        <f t="shared" si="89"/>
        <v>1.1132801034275894</v>
      </c>
      <c r="K133" s="192"/>
      <c r="L133" s="193">
        <f t="shared" si="90"/>
        <v>-4.2851854006988628E-6</v>
      </c>
      <c r="M133" s="22"/>
      <c r="N133" s="22"/>
      <c r="O133" s="146"/>
    </row>
    <row r="134" spans="1:15" s="143" customFormat="1" ht="20.100000000000001" customHeight="1" x14ac:dyDescent="0.25">
      <c r="A134" s="269"/>
      <c r="B134" s="161" t="s">
        <v>141</v>
      </c>
      <c r="C134" s="170">
        <f t="shared" ref="C134:F134" si="96">C117</f>
        <v>17.547599999999999</v>
      </c>
      <c r="D134" s="164">
        <f t="shared" si="96"/>
        <v>1</v>
      </c>
      <c r="E134" s="163">
        <f t="shared" si="96"/>
        <v>2</v>
      </c>
      <c r="F134" s="191">
        <f t="shared" si="96"/>
        <v>5.57E-2</v>
      </c>
      <c r="G134" s="193">
        <f t="shared" si="86"/>
        <v>3.2756667819857068E-5</v>
      </c>
      <c r="H134" s="203">
        <f t="shared" si="87"/>
        <v>6.3307042813370157E-6</v>
      </c>
      <c r="I134" s="192">
        <f t="shared" si="88"/>
        <v>1.1108866644718942E-4</v>
      </c>
      <c r="J134" s="193">
        <f t="shared" si="89"/>
        <v>3.3913298830672742</v>
      </c>
      <c r="K134" s="192"/>
      <c r="L134" s="193">
        <f t="shared" si="90"/>
        <v>2.2906590442474116E-5</v>
      </c>
      <c r="M134" s="22"/>
      <c r="N134" s="22"/>
      <c r="O134" s="146"/>
    </row>
    <row r="135" spans="1:15" s="143" customFormat="1" ht="20.100000000000001" customHeight="1" x14ac:dyDescent="0.25">
      <c r="A135" s="269"/>
      <c r="B135" s="161" t="s">
        <v>85</v>
      </c>
      <c r="C135" s="170">
        <f t="shared" ref="C135:F135" si="97">C118</f>
        <v>95.631299999999982</v>
      </c>
      <c r="D135" s="164">
        <f t="shared" si="97"/>
        <v>1</v>
      </c>
      <c r="E135" s="163">
        <f t="shared" si="97"/>
        <v>2</v>
      </c>
      <c r="F135" s="191">
        <f t="shared" si="97"/>
        <v>5.57E-2</v>
      </c>
      <c r="G135" s="193">
        <f t="shared" si="86"/>
        <v>2.9737660067071303E-5</v>
      </c>
      <c r="H135" s="203">
        <f t="shared" si="87"/>
        <v>5.2928227881570785E-6</v>
      </c>
      <c r="I135" s="192">
        <f t="shared" si="88"/>
        <v>5.0615952390108587E-4</v>
      </c>
      <c r="J135" s="193">
        <f t="shared" si="89"/>
        <v>17.020825537701249</v>
      </c>
      <c r="K135" s="192"/>
      <c r="L135" s="193">
        <f t="shared" si="90"/>
        <v>1.9887582689688351E-5</v>
      </c>
      <c r="M135" s="22"/>
      <c r="N135" s="22"/>
      <c r="O135" s="146"/>
    </row>
    <row r="136" spans="1:15" s="143" customFormat="1" ht="20.100000000000001" customHeight="1" x14ac:dyDescent="0.25">
      <c r="A136" s="269"/>
      <c r="B136" s="161" t="s">
        <v>86</v>
      </c>
      <c r="C136" s="170">
        <f t="shared" ref="C136:F136" si="98">C119</f>
        <v>4.4747000000000003</v>
      </c>
      <c r="D136" s="164">
        <f t="shared" si="98"/>
        <v>1</v>
      </c>
      <c r="E136" s="163">
        <f t="shared" si="98"/>
        <v>2</v>
      </c>
      <c r="F136" s="191">
        <f t="shared" si="98"/>
        <v>5.57E-2</v>
      </c>
      <c r="G136" s="193">
        <f t="shared" si="86"/>
        <v>1.3284604600284824E-5</v>
      </c>
      <c r="H136" s="203">
        <f t="shared" si="87"/>
        <v>1.1901910680672903E-6</v>
      </c>
      <c r="I136" s="192">
        <f t="shared" si="88"/>
        <v>5.3257479722807038E-6</v>
      </c>
      <c r="J136" s="193">
        <f t="shared" si="89"/>
        <v>0.40089623534346813</v>
      </c>
      <c r="K136" s="192"/>
      <c r="L136" s="193">
        <f t="shared" si="90"/>
        <v>3.434527222901873E-6</v>
      </c>
      <c r="M136" s="22"/>
      <c r="N136" s="22"/>
      <c r="O136" s="146"/>
    </row>
    <row r="137" spans="1:15" s="143" customFormat="1" ht="20.100000000000001" customHeight="1" thickBot="1" x14ac:dyDescent="0.3">
      <c r="A137" s="269"/>
      <c r="B137" s="206" t="s">
        <v>142</v>
      </c>
      <c r="C137" s="194">
        <f t="shared" ref="C137:F137" si="99">C120</f>
        <v>44.459099999999999</v>
      </c>
      <c r="D137" s="174">
        <f t="shared" si="99"/>
        <v>1</v>
      </c>
      <c r="E137" s="165">
        <f t="shared" si="99"/>
        <v>2</v>
      </c>
      <c r="F137" s="195">
        <f t="shared" si="99"/>
        <v>5.57E-2</v>
      </c>
      <c r="G137" s="197">
        <f t="shared" si="86"/>
        <v>1.2514746956425228E-5</v>
      </c>
      <c r="H137" s="298">
        <f t="shared" si="87"/>
        <v>1.0656253386231787E-6</v>
      </c>
      <c r="I137" s="295">
        <f t="shared" si="88"/>
        <v>4.7376743492381764E-5</v>
      </c>
      <c r="J137" s="296">
        <f t="shared" si="89"/>
        <v>3.7856733066470794</v>
      </c>
      <c r="K137" s="196"/>
      <c r="L137" s="197">
        <f t="shared" si="90"/>
        <v>2.6646695790422771E-6</v>
      </c>
      <c r="M137" s="22"/>
      <c r="N137" s="22"/>
      <c r="O137" s="146"/>
    </row>
    <row r="138" spans="1:15" s="143" customFormat="1" ht="45" customHeight="1" thickBot="1" x14ac:dyDescent="0.3">
      <c r="A138" s="269"/>
      <c r="B138" s="623" t="s">
        <v>55</v>
      </c>
      <c r="C138" s="624"/>
      <c r="D138" s="624"/>
      <c r="E138" s="624"/>
      <c r="F138" s="624"/>
      <c r="G138" s="624"/>
      <c r="H138" s="625"/>
      <c r="I138" s="297">
        <f>SUM(I127:I137)</f>
        <v>8.6054067311678521E-4</v>
      </c>
      <c r="J138" s="297">
        <f>SUM(J127:J137)</f>
        <v>47.223702188546092</v>
      </c>
      <c r="K138" s="198"/>
      <c r="L138" s="267"/>
      <c r="M138" s="22"/>
      <c r="N138" s="22"/>
      <c r="O138" s="146"/>
    </row>
    <row r="139" spans="1:15" s="143" customFormat="1" ht="30" customHeight="1" thickBot="1" x14ac:dyDescent="0.3">
      <c r="A139" s="269"/>
      <c r="B139" s="199"/>
      <c r="C139" s="199"/>
      <c r="D139" s="199"/>
      <c r="E139" s="199"/>
      <c r="F139" s="199"/>
      <c r="G139" s="199"/>
      <c r="H139" s="199"/>
      <c r="I139" s="33"/>
      <c r="J139" s="33"/>
      <c r="K139" s="198"/>
      <c r="L139" s="267"/>
      <c r="M139" s="22"/>
      <c r="N139" s="22"/>
      <c r="O139" s="146"/>
    </row>
    <row r="140" spans="1:15" s="143" customFormat="1" ht="20.100000000000001" customHeight="1" x14ac:dyDescent="0.25">
      <c r="A140" s="269"/>
      <c r="B140" s="626" t="s">
        <v>111</v>
      </c>
      <c r="C140" s="627"/>
      <c r="D140" s="627"/>
      <c r="E140" s="627"/>
      <c r="F140" s="627"/>
      <c r="G140" s="627"/>
      <c r="H140" s="627"/>
      <c r="I140" s="627"/>
      <c r="J140" s="627"/>
      <c r="K140" s="627"/>
      <c r="L140" s="628"/>
      <c r="M140" s="22"/>
      <c r="N140" s="22"/>
      <c r="O140" s="146"/>
    </row>
    <row r="141" spans="1:15" s="143" customFormat="1" ht="20.100000000000001" customHeight="1" thickBot="1" x14ac:dyDescent="0.3">
      <c r="A141" s="269"/>
      <c r="B141" s="629"/>
      <c r="C141" s="630"/>
      <c r="D141" s="630"/>
      <c r="E141" s="630"/>
      <c r="F141" s="630"/>
      <c r="G141" s="630"/>
      <c r="H141" s="630"/>
      <c r="I141" s="630"/>
      <c r="J141" s="630"/>
      <c r="K141" s="630"/>
      <c r="L141" s="631"/>
      <c r="M141" s="22"/>
      <c r="N141" s="22"/>
      <c r="O141" s="146"/>
    </row>
    <row r="142" spans="1:15" s="143" customFormat="1" ht="20.100000000000001" customHeight="1" x14ac:dyDescent="0.25">
      <c r="A142" s="269"/>
      <c r="B142" s="634" t="s">
        <v>29</v>
      </c>
      <c r="C142" s="154" t="s">
        <v>97</v>
      </c>
      <c r="D142" s="636" t="s">
        <v>101</v>
      </c>
      <c r="E142" s="636"/>
      <c r="F142" s="637"/>
      <c r="G142" s="270" t="s">
        <v>112</v>
      </c>
      <c r="H142" s="154" t="s">
        <v>98</v>
      </c>
      <c r="I142" s="154" t="s">
        <v>96</v>
      </c>
      <c r="J142" s="634" t="s">
        <v>113</v>
      </c>
      <c r="K142" s="634" t="s">
        <v>114</v>
      </c>
      <c r="L142" s="638" t="s">
        <v>115</v>
      </c>
      <c r="M142" s="22"/>
      <c r="N142" s="22"/>
      <c r="O142" s="146"/>
    </row>
    <row r="143" spans="1:15" s="143" customFormat="1" ht="20.100000000000001" customHeight="1" thickBot="1" x14ac:dyDescent="0.3">
      <c r="A143" s="269"/>
      <c r="B143" s="635"/>
      <c r="C143" s="155" t="s">
        <v>104</v>
      </c>
      <c r="D143" s="157" t="s">
        <v>107</v>
      </c>
      <c r="E143" s="157" t="s">
        <v>107</v>
      </c>
      <c r="F143" s="156" t="s">
        <v>104</v>
      </c>
      <c r="G143" s="187" t="s">
        <v>106</v>
      </c>
      <c r="H143" s="155" t="s">
        <v>105</v>
      </c>
      <c r="I143" s="155" t="s">
        <v>104</v>
      </c>
      <c r="J143" s="635"/>
      <c r="K143" s="635"/>
      <c r="L143" s="639"/>
      <c r="M143" s="22"/>
      <c r="N143" s="22"/>
      <c r="O143" s="146"/>
    </row>
    <row r="144" spans="1:15" s="143" customFormat="1" ht="20.100000000000001" customHeight="1" x14ac:dyDescent="0.25">
      <c r="A144" s="269"/>
      <c r="B144" s="158" t="s">
        <v>37</v>
      </c>
      <c r="C144" s="169">
        <f>C127</f>
        <v>96.975099999999998</v>
      </c>
      <c r="D144" s="159">
        <f>D127</f>
        <v>1</v>
      </c>
      <c r="E144" s="160">
        <f>E127</f>
        <v>2</v>
      </c>
      <c r="F144" s="188">
        <f>F127</f>
        <v>5.57E-2</v>
      </c>
      <c r="G144" s="200">
        <f>ABS(L127)</f>
        <v>1.6674670147716111E-7</v>
      </c>
      <c r="H144" s="201">
        <f>ABS((G144)/(0.2785*150*(F144^2.63)))^(1/0.54)</f>
        <v>3.5867963715587444E-10</v>
      </c>
      <c r="I144" s="189">
        <f>H144*C144</f>
        <v>3.4782993681154636E-8</v>
      </c>
      <c r="J144" s="200">
        <f>I144/G144</f>
        <v>0.20859779157861649</v>
      </c>
      <c r="K144" s="202">
        <f>(-I155)/(1.85*J155)</f>
        <v>-7.0669294092517588E-6</v>
      </c>
      <c r="L144" s="200">
        <f>G144+$K$144</f>
        <v>-6.9001827077745977E-6</v>
      </c>
      <c r="M144" s="22"/>
      <c r="N144" s="22"/>
      <c r="O144" s="146"/>
    </row>
    <row r="145" spans="1:15" s="143" customFormat="1" ht="20.100000000000001" customHeight="1" x14ac:dyDescent="0.25">
      <c r="A145" s="269"/>
      <c r="B145" s="161" t="s">
        <v>38</v>
      </c>
      <c r="C145" s="170">
        <f t="shared" ref="C145:F145" si="100">C128</f>
        <v>86.260599999999997</v>
      </c>
      <c r="D145" s="164">
        <f t="shared" si="100"/>
        <v>1</v>
      </c>
      <c r="E145" s="163">
        <f t="shared" si="100"/>
        <v>2</v>
      </c>
      <c r="F145" s="191">
        <f t="shared" si="100"/>
        <v>5.57E-2</v>
      </c>
      <c r="G145" s="193">
        <f t="shared" ref="G145:G154" si="101">ABS(L128)</f>
        <v>2.7723323486755746E-6</v>
      </c>
      <c r="H145" s="203">
        <f t="shared" ref="H145:H154" si="102">ABS((G145)/(0.2785*150*(F145^2.63)))^(1/0.54)</f>
        <v>6.5377049387214093E-8</v>
      </c>
      <c r="I145" s="192">
        <f t="shared" ref="I145:I154" si="103">H145*C145</f>
        <v>5.6394635063707196E-6</v>
      </c>
      <c r="J145" s="193">
        <f t="shared" ref="J145:J154" si="104">I145/G145</f>
        <v>2.0341946047936346</v>
      </c>
      <c r="K145" s="192"/>
      <c r="L145" s="193">
        <f t="shared" ref="L145:L154" si="105">G145+$K$144</f>
        <v>-4.2945970605761843E-6</v>
      </c>
      <c r="M145" s="22"/>
      <c r="N145" s="22"/>
      <c r="O145" s="145"/>
    </row>
    <row r="146" spans="1:15" s="143" customFormat="1" ht="20.100000000000001" customHeight="1" x14ac:dyDescent="0.25">
      <c r="A146" s="269"/>
      <c r="B146" s="161" t="s">
        <v>39</v>
      </c>
      <c r="C146" s="170">
        <f t="shared" ref="C146:F146" si="106">C129</f>
        <v>111.3882</v>
      </c>
      <c r="D146" s="164">
        <f t="shared" si="106"/>
        <v>1</v>
      </c>
      <c r="E146" s="163">
        <f t="shared" si="106"/>
        <v>2</v>
      </c>
      <c r="F146" s="191">
        <f t="shared" si="106"/>
        <v>5.57E-2</v>
      </c>
      <c r="G146" s="193">
        <f t="shared" si="101"/>
        <v>1.3182488490023988E-6</v>
      </c>
      <c r="H146" s="203">
        <f t="shared" si="102"/>
        <v>1.6502846110651785E-8</v>
      </c>
      <c r="I146" s="192">
        <f t="shared" si="103"/>
        <v>1.8382223231425031E-6</v>
      </c>
      <c r="J146" s="193">
        <f t="shared" si="104"/>
        <v>1.3944425777679235</v>
      </c>
      <c r="K146" s="192"/>
      <c r="L146" s="193">
        <f t="shared" si="105"/>
        <v>-5.7486805602493601E-6</v>
      </c>
      <c r="M146" s="22"/>
      <c r="N146" s="22"/>
      <c r="O146" s="146"/>
    </row>
    <row r="147" spans="1:15" s="143" customFormat="1" ht="20.100000000000001" customHeight="1" x14ac:dyDescent="0.25">
      <c r="A147" s="269"/>
      <c r="B147" s="161" t="s">
        <v>64</v>
      </c>
      <c r="C147" s="170">
        <f t="shared" ref="C147:F147" si="107">C130</f>
        <v>94.485900000000001</v>
      </c>
      <c r="D147" s="164">
        <f t="shared" si="107"/>
        <v>1</v>
      </c>
      <c r="E147" s="163">
        <f t="shared" si="107"/>
        <v>2</v>
      </c>
      <c r="F147" s="191">
        <f t="shared" si="107"/>
        <v>5.57E-2</v>
      </c>
      <c r="G147" s="193">
        <f t="shared" si="101"/>
        <v>8.9122193586216486E-6</v>
      </c>
      <c r="H147" s="203">
        <f t="shared" si="102"/>
        <v>5.6829590766666565E-7</v>
      </c>
      <c r="I147" s="192">
        <f t="shared" si="103"/>
        <v>5.3695950302201805E-5</v>
      </c>
      <c r="J147" s="193">
        <f t="shared" si="104"/>
        <v>6.0249807754402429</v>
      </c>
      <c r="K147" s="192"/>
      <c r="L147" s="193">
        <f t="shared" si="105"/>
        <v>1.8452899493698898E-6</v>
      </c>
      <c r="M147" s="22"/>
      <c r="N147" s="22"/>
      <c r="O147" s="146"/>
    </row>
    <row r="148" spans="1:15" s="143" customFormat="1" ht="20.100000000000001" customHeight="1" x14ac:dyDescent="0.25">
      <c r="A148" s="269"/>
      <c r="B148" s="161" t="s">
        <v>65</v>
      </c>
      <c r="C148" s="170">
        <f t="shared" ref="C148:F148" si="108">C131</f>
        <v>75.623900000000006</v>
      </c>
      <c r="D148" s="164">
        <f t="shared" si="108"/>
        <v>1</v>
      </c>
      <c r="E148" s="163">
        <f t="shared" si="108"/>
        <v>2</v>
      </c>
      <c r="F148" s="191">
        <f t="shared" si="108"/>
        <v>5.57E-2</v>
      </c>
      <c r="G148" s="193">
        <f t="shared" si="101"/>
        <v>9.8022447180276028E-6</v>
      </c>
      <c r="H148" s="203">
        <f t="shared" si="102"/>
        <v>6.7784356780906624E-7</v>
      </c>
      <c r="I148" s="192">
        <f t="shared" si="103"/>
        <v>5.1261174187636052E-5</v>
      </c>
      <c r="J148" s="193">
        <f t="shared" si="104"/>
        <v>5.2295342201934716</v>
      </c>
      <c r="K148" s="192"/>
      <c r="L148" s="193">
        <f t="shared" si="105"/>
        <v>2.735315308775844E-6</v>
      </c>
      <c r="M148" s="22"/>
      <c r="N148" s="22"/>
      <c r="O148" s="146"/>
    </row>
    <row r="149" spans="1:15" s="143" customFormat="1" ht="20.100000000000001" customHeight="1" x14ac:dyDescent="0.25">
      <c r="A149" s="269"/>
      <c r="B149" s="161" t="s">
        <v>61</v>
      </c>
      <c r="C149" s="170">
        <f t="shared" ref="C149:F149" si="109">C132</f>
        <v>33.049199999999999</v>
      </c>
      <c r="D149" s="164">
        <f t="shared" si="109"/>
        <v>1</v>
      </c>
      <c r="E149" s="163">
        <f t="shared" si="109"/>
        <v>2</v>
      </c>
      <c r="F149" s="191">
        <f t="shared" si="109"/>
        <v>5.57E-2</v>
      </c>
      <c r="G149" s="193">
        <f t="shared" si="101"/>
        <v>1.4008224307634491E-6</v>
      </c>
      <c r="H149" s="203">
        <f t="shared" si="102"/>
        <v>1.8468058104892192E-8</v>
      </c>
      <c r="I149" s="192">
        <f t="shared" si="103"/>
        <v>6.1035454592020302E-7</v>
      </c>
      <c r="J149" s="193">
        <f t="shared" si="104"/>
        <v>0.4357115737985145</v>
      </c>
      <c r="K149" s="192"/>
      <c r="L149" s="193">
        <f t="shared" si="105"/>
        <v>-5.6661069784883098E-6</v>
      </c>
      <c r="M149" s="22"/>
      <c r="N149" s="22"/>
      <c r="O149" s="146"/>
    </row>
    <row r="150" spans="1:15" s="143" customFormat="1" ht="20.100000000000001" customHeight="1" x14ac:dyDescent="0.25">
      <c r="A150" s="269"/>
      <c r="B150" s="161" t="s">
        <v>143</v>
      </c>
      <c r="C150" s="170">
        <f t="shared" ref="C150:F150" si="110">C133</f>
        <v>26.0762</v>
      </c>
      <c r="D150" s="164">
        <f t="shared" si="110"/>
        <v>1</v>
      </c>
      <c r="E150" s="163">
        <f t="shared" si="110"/>
        <v>2</v>
      </c>
      <c r="F150" s="191">
        <f t="shared" si="110"/>
        <v>5.57E-2</v>
      </c>
      <c r="G150" s="193">
        <f t="shared" si="101"/>
        <v>4.2851854006988628E-6</v>
      </c>
      <c r="H150" s="203">
        <f t="shared" si="102"/>
        <v>1.4643859245419538E-7</v>
      </c>
      <c r="I150" s="192">
        <f t="shared" si="103"/>
        <v>3.8185620245540896E-6</v>
      </c>
      <c r="J150" s="193">
        <f t="shared" si="104"/>
        <v>0.8911077742240342</v>
      </c>
      <c r="K150" s="192"/>
      <c r="L150" s="193">
        <f t="shared" si="105"/>
        <v>-2.7817440085528961E-6</v>
      </c>
      <c r="M150" s="22"/>
      <c r="N150" s="22"/>
      <c r="O150" s="146"/>
    </row>
    <row r="151" spans="1:15" s="143" customFormat="1" ht="20.100000000000001" customHeight="1" x14ac:dyDescent="0.25">
      <c r="A151" s="269"/>
      <c r="B151" s="161" t="s">
        <v>141</v>
      </c>
      <c r="C151" s="170">
        <f t="shared" ref="C151:F151" si="111">C134</f>
        <v>17.547599999999999</v>
      </c>
      <c r="D151" s="164">
        <f t="shared" si="111"/>
        <v>1</v>
      </c>
      <c r="E151" s="163">
        <f t="shared" si="111"/>
        <v>2</v>
      </c>
      <c r="F151" s="191">
        <f t="shared" si="111"/>
        <v>5.57E-2</v>
      </c>
      <c r="G151" s="193">
        <f t="shared" si="101"/>
        <v>2.2906590442474116E-5</v>
      </c>
      <c r="H151" s="203">
        <f t="shared" si="102"/>
        <v>3.2642748616023268E-6</v>
      </c>
      <c r="I151" s="192">
        <f t="shared" si="103"/>
        <v>5.7280189561452988E-5</v>
      </c>
      <c r="J151" s="193">
        <f t="shared" si="104"/>
        <v>2.500598668549217</v>
      </c>
      <c r="K151" s="192"/>
      <c r="L151" s="193">
        <f t="shared" si="105"/>
        <v>1.5839661033222357E-5</v>
      </c>
      <c r="M151" s="22"/>
      <c r="N151" s="22"/>
      <c r="O151" s="146"/>
    </row>
    <row r="152" spans="1:15" s="143" customFormat="1" ht="20.100000000000001" customHeight="1" x14ac:dyDescent="0.25">
      <c r="A152" s="269"/>
      <c r="B152" s="161" t="s">
        <v>85</v>
      </c>
      <c r="C152" s="170">
        <f t="shared" ref="C152:F152" si="112">C135</f>
        <v>95.631299999999982</v>
      </c>
      <c r="D152" s="164">
        <f t="shared" si="112"/>
        <v>1</v>
      </c>
      <c r="E152" s="163">
        <f t="shared" si="112"/>
        <v>2</v>
      </c>
      <c r="F152" s="191">
        <f t="shared" si="112"/>
        <v>5.57E-2</v>
      </c>
      <c r="G152" s="193">
        <f t="shared" si="101"/>
        <v>1.9887582689688351E-5</v>
      </c>
      <c r="H152" s="203">
        <f t="shared" si="102"/>
        <v>2.5125974777867335E-6</v>
      </c>
      <c r="I152" s="192">
        <f t="shared" si="103"/>
        <v>2.4028296317746639E-4</v>
      </c>
      <c r="J152" s="193">
        <f t="shared" si="104"/>
        <v>12.082059792116029</v>
      </c>
      <c r="K152" s="192"/>
      <c r="L152" s="193">
        <f t="shared" si="105"/>
        <v>1.2820653280436592E-5</v>
      </c>
      <c r="M152" s="22"/>
      <c r="N152" s="22"/>
      <c r="O152" s="146"/>
    </row>
    <row r="153" spans="1:15" s="143" customFormat="1" ht="20.100000000000001" customHeight="1" x14ac:dyDescent="0.25">
      <c r="A153" s="269"/>
      <c r="B153" s="161" t="s">
        <v>86</v>
      </c>
      <c r="C153" s="170">
        <f t="shared" ref="C153:F153" si="113">C136</f>
        <v>4.4747000000000003</v>
      </c>
      <c r="D153" s="164">
        <f t="shared" si="113"/>
        <v>1</v>
      </c>
      <c r="E153" s="163">
        <f t="shared" si="113"/>
        <v>2</v>
      </c>
      <c r="F153" s="191">
        <f t="shared" si="113"/>
        <v>5.57E-2</v>
      </c>
      <c r="G153" s="193">
        <f t="shared" si="101"/>
        <v>3.434527222901873E-6</v>
      </c>
      <c r="H153" s="203">
        <f t="shared" si="102"/>
        <v>9.7204790556978302E-8</v>
      </c>
      <c r="I153" s="192">
        <f t="shared" si="103"/>
        <v>4.3496227630531082E-7</v>
      </c>
      <c r="J153" s="193">
        <f t="shared" si="104"/>
        <v>0.12664400311196428</v>
      </c>
      <c r="K153" s="192"/>
      <c r="L153" s="193">
        <f t="shared" si="105"/>
        <v>-3.6324021863498858E-6</v>
      </c>
      <c r="M153" s="22"/>
      <c r="N153" s="22"/>
      <c r="O153" s="146"/>
    </row>
    <row r="154" spans="1:15" s="143" customFormat="1" ht="20.100000000000001" customHeight="1" thickBot="1" x14ac:dyDescent="0.3">
      <c r="A154" s="269"/>
      <c r="B154" s="206" t="s">
        <v>142</v>
      </c>
      <c r="C154" s="194">
        <f t="shared" ref="C154:F154" si="114">C137</f>
        <v>44.459099999999999</v>
      </c>
      <c r="D154" s="174">
        <f t="shared" si="114"/>
        <v>1</v>
      </c>
      <c r="E154" s="165">
        <f t="shared" si="114"/>
        <v>2</v>
      </c>
      <c r="F154" s="195">
        <f t="shared" si="114"/>
        <v>5.57E-2</v>
      </c>
      <c r="G154" s="197">
        <f t="shared" si="101"/>
        <v>2.6646695790422771E-6</v>
      </c>
      <c r="H154" s="298">
        <f t="shared" si="102"/>
        <v>6.0753302749550968E-8</v>
      </c>
      <c r="I154" s="295">
        <f t="shared" si="103"/>
        <v>2.7010371622725612E-6</v>
      </c>
      <c r="J154" s="296">
        <f t="shared" si="104"/>
        <v>1.0136480648543882</v>
      </c>
      <c r="K154" s="196"/>
      <c r="L154" s="197">
        <f t="shared" si="105"/>
        <v>-4.4022598302094818E-6</v>
      </c>
      <c r="M154" s="22"/>
      <c r="N154" s="22"/>
      <c r="O154" s="146"/>
    </row>
    <row r="155" spans="1:15" s="143" customFormat="1" ht="45" customHeight="1" thickBot="1" x14ac:dyDescent="0.3">
      <c r="A155" s="269"/>
      <c r="B155" s="623" t="s">
        <v>55</v>
      </c>
      <c r="C155" s="624"/>
      <c r="D155" s="624"/>
      <c r="E155" s="624"/>
      <c r="F155" s="624"/>
      <c r="G155" s="624"/>
      <c r="H155" s="625"/>
      <c r="I155" s="297">
        <f>SUM(I144:I154)</f>
        <v>4.175976620610038E-4</v>
      </c>
      <c r="J155" s="297">
        <f>SUM(J144:J154)</f>
        <v>31.941519846428029</v>
      </c>
      <c r="K155" s="198"/>
      <c r="L155" s="267"/>
      <c r="M155" s="22"/>
      <c r="N155" s="22"/>
      <c r="O155" s="146"/>
    </row>
    <row r="156" spans="1:15" s="143" customFormat="1" ht="30" customHeight="1" thickBot="1" x14ac:dyDescent="0.3">
      <c r="A156" s="269"/>
      <c r="B156" s="199"/>
      <c r="C156" s="199"/>
      <c r="D156" s="199"/>
      <c r="E156" s="199"/>
      <c r="F156" s="199"/>
      <c r="G156" s="199"/>
      <c r="H156" s="199"/>
      <c r="I156" s="33"/>
      <c r="J156" s="33"/>
      <c r="K156" s="198"/>
      <c r="L156" s="267"/>
      <c r="M156" s="22"/>
      <c r="N156" s="22"/>
      <c r="O156" s="146"/>
    </row>
    <row r="157" spans="1:15" s="143" customFormat="1" ht="20.100000000000001" customHeight="1" x14ac:dyDescent="0.25">
      <c r="A157" s="269"/>
      <c r="B157" s="626" t="s">
        <v>111</v>
      </c>
      <c r="C157" s="627"/>
      <c r="D157" s="627"/>
      <c r="E157" s="627"/>
      <c r="F157" s="627"/>
      <c r="G157" s="627"/>
      <c r="H157" s="627"/>
      <c r="I157" s="627"/>
      <c r="J157" s="627"/>
      <c r="K157" s="627"/>
      <c r="L157" s="628"/>
      <c r="M157" s="22"/>
      <c r="N157" s="22"/>
      <c r="O157" s="146"/>
    </row>
    <row r="158" spans="1:15" s="143" customFormat="1" ht="20.100000000000001" customHeight="1" thickBot="1" x14ac:dyDescent="0.3">
      <c r="A158" s="269"/>
      <c r="B158" s="629"/>
      <c r="C158" s="630"/>
      <c r="D158" s="630"/>
      <c r="E158" s="630"/>
      <c r="F158" s="630"/>
      <c r="G158" s="630"/>
      <c r="H158" s="630"/>
      <c r="I158" s="630"/>
      <c r="J158" s="630"/>
      <c r="K158" s="630"/>
      <c r="L158" s="631"/>
      <c r="M158" s="22"/>
      <c r="N158" s="22"/>
      <c r="O158" s="146"/>
    </row>
    <row r="159" spans="1:15" s="143" customFormat="1" ht="20.100000000000001" customHeight="1" x14ac:dyDescent="0.25">
      <c r="A159" s="269"/>
      <c r="B159" s="634" t="s">
        <v>29</v>
      </c>
      <c r="C159" s="154" t="s">
        <v>97</v>
      </c>
      <c r="D159" s="636" t="s">
        <v>101</v>
      </c>
      <c r="E159" s="636"/>
      <c r="F159" s="637"/>
      <c r="G159" s="270" t="s">
        <v>112</v>
      </c>
      <c r="H159" s="154" t="s">
        <v>98</v>
      </c>
      <c r="I159" s="154" t="s">
        <v>96</v>
      </c>
      <c r="J159" s="634" t="s">
        <v>113</v>
      </c>
      <c r="K159" s="634" t="s">
        <v>114</v>
      </c>
      <c r="L159" s="638" t="s">
        <v>115</v>
      </c>
      <c r="M159" s="22"/>
      <c r="N159" s="22"/>
      <c r="O159" s="146"/>
    </row>
    <row r="160" spans="1:15" s="143" customFormat="1" ht="20.100000000000001" customHeight="1" thickBot="1" x14ac:dyDescent="0.3">
      <c r="A160" s="269"/>
      <c r="B160" s="635"/>
      <c r="C160" s="155" t="s">
        <v>104</v>
      </c>
      <c r="D160" s="157" t="s">
        <v>107</v>
      </c>
      <c r="E160" s="157" t="s">
        <v>107</v>
      </c>
      <c r="F160" s="156" t="s">
        <v>104</v>
      </c>
      <c r="G160" s="187" t="s">
        <v>106</v>
      </c>
      <c r="H160" s="155" t="s">
        <v>105</v>
      </c>
      <c r="I160" s="155" t="s">
        <v>104</v>
      </c>
      <c r="J160" s="635"/>
      <c r="K160" s="635"/>
      <c r="L160" s="639"/>
      <c r="M160" s="22"/>
      <c r="N160" s="22"/>
      <c r="O160" s="146"/>
    </row>
    <row r="161" spans="1:15" s="143" customFormat="1" ht="20.100000000000001" customHeight="1" x14ac:dyDescent="0.25">
      <c r="A161" s="269"/>
      <c r="B161" s="158" t="s">
        <v>37</v>
      </c>
      <c r="C161" s="169">
        <f>C144</f>
        <v>96.975099999999998</v>
      </c>
      <c r="D161" s="159">
        <f>D144</f>
        <v>1</v>
      </c>
      <c r="E161" s="160">
        <f>E144</f>
        <v>2</v>
      </c>
      <c r="F161" s="188">
        <f>F144</f>
        <v>5.57E-2</v>
      </c>
      <c r="G161" s="200">
        <f>ABS(L144)</f>
        <v>6.9001827077745977E-6</v>
      </c>
      <c r="H161" s="201">
        <f>ABS((G161)/(0.2785*150*(F161^2.63)))^(1/0.54)</f>
        <v>3.5382374818210972E-7</v>
      </c>
      <c r="I161" s="189">
        <f>H161*C161</f>
        <v>3.4312093362334905E-5</v>
      </c>
      <c r="J161" s="200">
        <f>I161/G161</f>
        <v>4.9726354816191556</v>
      </c>
      <c r="K161" s="202">
        <f>(-I172)/(1.85*J172)</f>
        <v>-4.2389298092999414E-6</v>
      </c>
      <c r="L161" s="200">
        <f>G161+$K$161</f>
        <v>2.6612528984746564E-6</v>
      </c>
      <c r="M161" s="22"/>
      <c r="N161" s="22"/>
      <c r="O161" s="146"/>
    </row>
    <row r="162" spans="1:15" s="143" customFormat="1" ht="20.100000000000001" customHeight="1" x14ac:dyDescent="0.25">
      <c r="A162" s="269"/>
      <c r="B162" s="161" t="s">
        <v>38</v>
      </c>
      <c r="C162" s="170">
        <f t="shared" ref="C162:F162" si="115">C145</f>
        <v>86.260599999999997</v>
      </c>
      <c r="D162" s="164">
        <f t="shared" si="115"/>
        <v>1</v>
      </c>
      <c r="E162" s="163">
        <f t="shared" si="115"/>
        <v>2</v>
      </c>
      <c r="F162" s="191">
        <f t="shared" si="115"/>
        <v>5.57E-2</v>
      </c>
      <c r="G162" s="193">
        <f t="shared" ref="G162:G171" si="116">ABS(L145)</f>
        <v>4.2945970605761843E-6</v>
      </c>
      <c r="H162" s="203">
        <f t="shared" ref="H162:H171" si="117">ABS((G162)/(0.2785*150*(F162^2.63)))^(1/0.54)</f>
        <v>1.4703475464582157E-7</v>
      </c>
      <c r="I162" s="192">
        <f t="shared" ref="I162:I171" si="118">H162*C162</f>
        <v>1.2683306156601356E-5</v>
      </c>
      <c r="J162" s="193">
        <f t="shared" ref="J162:J171" si="119">I162/G162</f>
        <v>2.9533169183745729</v>
      </c>
      <c r="K162" s="192"/>
      <c r="L162" s="193">
        <f t="shared" ref="L162:L171" si="120">G162+$K$161</f>
        <v>5.566725127624291E-8</v>
      </c>
      <c r="M162" s="22"/>
      <c r="N162" s="22"/>
      <c r="O162" s="146"/>
    </row>
    <row r="163" spans="1:15" s="143" customFormat="1" ht="20.100000000000001" customHeight="1" x14ac:dyDescent="0.25">
      <c r="A163" s="269"/>
      <c r="B163" s="161" t="s">
        <v>39</v>
      </c>
      <c r="C163" s="170">
        <f t="shared" ref="C163:F163" si="121">C146</f>
        <v>111.3882</v>
      </c>
      <c r="D163" s="164">
        <f t="shared" si="121"/>
        <v>1</v>
      </c>
      <c r="E163" s="163">
        <f t="shared" si="121"/>
        <v>2</v>
      </c>
      <c r="F163" s="191">
        <f t="shared" si="121"/>
        <v>5.57E-2</v>
      </c>
      <c r="G163" s="193">
        <f t="shared" si="116"/>
        <v>5.7486805602493601E-6</v>
      </c>
      <c r="H163" s="203">
        <f t="shared" si="117"/>
        <v>2.5231854727307209E-7</v>
      </c>
      <c r="I163" s="192">
        <f t="shared" si="118"/>
        <v>2.8105308807362408E-5</v>
      </c>
      <c r="J163" s="193">
        <f t="shared" si="119"/>
        <v>4.8890016609556204</v>
      </c>
      <c r="K163" s="192"/>
      <c r="L163" s="193">
        <f t="shared" si="120"/>
        <v>1.5097507509494187E-6</v>
      </c>
      <c r="M163" s="22"/>
      <c r="N163" s="22"/>
      <c r="O163" s="146"/>
    </row>
    <row r="164" spans="1:15" s="143" customFormat="1" ht="20.100000000000001" customHeight="1" x14ac:dyDescent="0.25">
      <c r="A164" s="269"/>
      <c r="B164" s="161" t="s">
        <v>64</v>
      </c>
      <c r="C164" s="170">
        <f t="shared" ref="C164:F164" si="122">C147</f>
        <v>94.485900000000001</v>
      </c>
      <c r="D164" s="164">
        <f t="shared" si="122"/>
        <v>1</v>
      </c>
      <c r="E164" s="163">
        <f t="shared" si="122"/>
        <v>2</v>
      </c>
      <c r="F164" s="191">
        <f t="shared" si="122"/>
        <v>5.57E-2</v>
      </c>
      <c r="G164" s="193">
        <f t="shared" si="116"/>
        <v>1.8452899493698898E-6</v>
      </c>
      <c r="H164" s="203">
        <f t="shared" si="117"/>
        <v>3.0764771471883042E-8</v>
      </c>
      <c r="I164" s="192">
        <f t="shared" si="118"/>
        <v>2.9068371208151941E-6</v>
      </c>
      <c r="J164" s="193">
        <f t="shared" si="119"/>
        <v>1.5752739138950984</v>
      </c>
      <c r="K164" s="192"/>
      <c r="L164" s="193">
        <f t="shared" si="120"/>
        <v>-2.3936398599300516E-6</v>
      </c>
      <c r="M164" s="22"/>
      <c r="N164" s="22"/>
      <c r="O164" s="146"/>
    </row>
    <row r="165" spans="1:15" s="143" customFormat="1" ht="20.100000000000001" customHeight="1" x14ac:dyDescent="0.25">
      <c r="A165" s="269"/>
      <c r="B165" s="161" t="s">
        <v>65</v>
      </c>
      <c r="C165" s="170">
        <f t="shared" ref="C165:F165" si="123">C148</f>
        <v>75.623900000000006</v>
      </c>
      <c r="D165" s="164">
        <f t="shared" si="123"/>
        <v>1</v>
      </c>
      <c r="E165" s="163">
        <f t="shared" si="123"/>
        <v>2</v>
      </c>
      <c r="F165" s="191">
        <f t="shared" si="123"/>
        <v>5.57E-2</v>
      </c>
      <c r="G165" s="193">
        <f t="shared" si="116"/>
        <v>2.735315308775844E-6</v>
      </c>
      <c r="H165" s="203">
        <f t="shared" si="117"/>
        <v>6.3769703354310099E-8</v>
      </c>
      <c r="I165" s="192">
        <f t="shared" si="118"/>
        <v>4.8225136694960118E-6</v>
      </c>
      <c r="J165" s="193">
        <f t="shared" si="119"/>
        <v>1.763055854666447</v>
      </c>
      <c r="K165" s="192"/>
      <c r="L165" s="193">
        <f t="shared" si="120"/>
        <v>-1.5036145005240974E-6</v>
      </c>
      <c r="M165" s="22"/>
      <c r="N165" s="22"/>
      <c r="O165" s="146"/>
    </row>
    <row r="166" spans="1:15" s="143" customFormat="1" ht="20.100000000000001" customHeight="1" x14ac:dyDescent="0.25">
      <c r="A166" s="269"/>
      <c r="B166" s="161" t="s">
        <v>61</v>
      </c>
      <c r="C166" s="170">
        <f t="shared" ref="C166:F166" si="124">C149</f>
        <v>33.049199999999999</v>
      </c>
      <c r="D166" s="164">
        <f t="shared" si="124"/>
        <v>1</v>
      </c>
      <c r="E166" s="163">
        <f t="shared" si="124"/>
        <v>2</v>
      </c>
      <c r="F166" s="191">
        <f t="shared" si="124"/>
        <v>5.57E-2</v>
      </c>
      <c r="G166" s="193">
        <f t="shared" si="116"/>
        <v>5.6661069784883098E-6</v>
      </c>
      <c r="H166" s="203">
        <f t="shared" si="117"/>
        <v>2.4564800257799187E-7</v>
      </c>
      <c r="I166" s="192">
        <f t="shared" si="118"/>
        <v>8.1184699668005689E-6</v>
      </c>
      <c r="J166" s="193">
        <f t="shared" si="119"/>
        <v>1.432812687374734</v>
      </c>
      <c r="K166" s="192"/>
      <c r="L166" s="193">
        <f t="shared" si="120"/>
        <v>1.4271771691883684E-6</v>
      </c>
      <c r="M166" s="22"/>
      <c r="N166" s="22"/>
      <c r="O166" s="146"/>
    </row>
    <row r="167" spans="1:15" s="143" customFormat="1" ht="20.100000000000001" customHeight="1" x14ac:dyDescent="0.25">
      <c r="A167" s="269"/>
      <c r="B167" s="161" t="s">
        <v>143</v>
      </c>
      <c r="C167" s="170">
        <f t="shared" ref="C167:F167" si="125">C150</f>
        <v>26.0762</v>
      </c>
      <c r="D167" s="164">
        <f t="shared" si="125"/>
        <v>1</v>
      </c>
      <c r="E167" s="163">
        <f t="shared" si="125"/>
        <v>2</v>
      </c>
      <c r="F167" s="191">
        <f t="shared" si="125"/>
        <v>5.57E-2</v>
      </c>
      <c r="G167" s="193">
        <f t="shared" si="116"/>
        <v>2.7817440085528961E-6</v>
      </c>
      <c r="H167" s="203">
        <f t="shared" si="117"/>
        <v>6.5788653683981493E-8</v>
      </c>
      <c r="I167" s="192">
        <f t="shared" si="118"/>
        <v>1.7155180911942382E-6</v>
      </c>
      <c r="J167" s="193">
        <f t="shared" si="119"/>
        <v>0.61670595350241297</v>
      </c>
      <c r="K167" s="192"/>
      <c r="L167" s="193">
        <f t="shared" si="120"/>
        <v>-1.4571858007470453E-6</v>
      </c>
      <c r="M167" s="22"/>
      <c r="N167" s="22"/>
      <c r="O167" s="146"/>
    </row>
    <row r="168" spans="1:15" s="143" customFormat="1" ht="20.100000000000001" customHeight="1" x14ac:dyDescent="0.25">
      <c r="A168" s="269"/>
      <c r="B168" s="161" t="s">
        <v>141</v>
      </c>
      <c r="C168" s="170">
        <f t="shared" ref="C168:F168" si="126">C151</f>
        <v>17.547599999999999</v>
      </c>
      <c r="D168" s="164">
        <f t="shared" si="126"/>
        <v>1</v>
      </c>
      <c r="E168" s="163">
        <f t="shared" si="126"/>
        <v>2</v>
      </c>
      <c r="F168" s="191">
        <f t="shared" si="126"/>
        <v>5.57E-2</v>
      </c>
      <c r="G168" s="193">
        <f t="shared" si="116"/>
        <v>1.5839661033222357E-5</v>
      </c>
      <c r="H168" s="203">
        <f t="shared" si="117"/>
        <v>1.6485156601439171E-6</v>
      </c>
      <c r="I168" s="192">
        <f t="shared" si="118"/>
        <v>2.8927493397941399E-5</v>
      </c>
      <c r="J168" s="193">
        <f t="shared" si="119"/>
        <v>1.8262697249182551</v>
      </c>
      <c r="K168" s="192"/>
      <c r="L168" s="193">
        <f t="shared" si="120"/>
        <v>1.1600731223922416E-5</v>
      </c>
      <c r="M168" s="22"/>
      <c r="N168" s="22"/>
      <c r="O168" s="146"/>
    </row>
    <row r="169" spans="1:15" s="143" customFormat="1" ht="20.100000000000001" customHeight="1" x14ac:dyDescent="0.25">
      <c r="A169" s="269"/>
      <c r="B169" s="161" t="s">
        <v>85</v>
      </c>
      <c r="C169" s="170">
        <f t="shared" ref="C169:F169" si="127">C152</f>
        <v>95.631299999999982</v>
      </c>
      <c r="D169" s="164">
        <f t="shared" si="127"/>
        <v>1</v>
      </c>
      <c r="E169" s="163">
        <f t="shared" si="127"/>
        <v>2</v>
      </c>
      <c r="F169" s="191">
        <f t="shared" si="127"/>
        <v>5.57E-2</v>
      </c>
      <c r="G169" s="193">
        <f t="shared" si="116"/>
        <v>1.2820653280436592E-5</v>
      </c>
      <c r="H169" s="203">
        <f t="shared" si="117"/>
        <v>1.1143635901938487E-6</v>
      </c>
      <c r="I169" s="192">
        <f t="shared" si="118"/>
        <v>1.0656803880290498E-4</v>
      </c>
      <c r="J169" s="193">
        <f t="shared" si="119"/>
        <v>8.3122159590354308</v>
      </c>
      <c r="K169" s="192"/>
      <c r="L169" s="193">
        <f t="shared" si="120"/>
        <v>8.5817234711366515E-6</v>
      </c>
      <c r="M169" s="22"/>
      <c r="N169" s="22"/>
      <c r="O169" s="146"/>
    </row>
    <row r="170" spans="1:15" s="143" customFormat="1" ht="20.100000000000001" customHeight="1" x14ac:dyDescent="0.25">
      <c r="A170" s="269"/>
      <c r="B170" s="161" t="s">
        <v>86</v>
      </c>
      <c r="C170" s="170">
        <f t="shared" ref="C170:F170" si="128">C153</f>
        <v>4.4747000000000003</v>
      </c>
      <c r="D170" s="164">
        <f t="shared" si="128"/>
        <v>1</v>
      </c>
      <c r="E170" s="163">
        <f t="shared" si="128"/>
        <v>2</v>
      </c>
      <c r="F170" s="191">
        <f t="shared" si="128"/>
        <v>5.57E-2</v>
      </c>
      <c r="G170" s="193">
        <f t="shared" si="116"/>
        <v>3.6324021863498858E-6</v>
      </c>
      <c r="H170" s="203">
        <f t="shared" si="117"/>
        <v>1.0782950329759129E-7</v>
      </c>
      <c r="I170" s="192">
        <f t="shared" si="118"/>
        <v>4.8250467840573181E-7</v>
      </c>
      <c r="J170" s="193">
        <f t="shared" si="119"/>
        <v>0.13283349520571378</v>
      </c>
      <c r="K170" s="192"/>
      <c r="L170" s="193">
        <f t="shared" si="120"/>
        <v>-6.0652762295005552E-7</v>
      </c>
      <c r="M170" s="22"/>
      <c r="N170" s="22"/>
      <c r="O170" s="145"/>
    </row>
    <row r="171" spans="1:15" s="143" customFormat="1" ht="20.100000000000001" customHeight="1" thickBot="1" x14ac:dyDescent="0.3">
      <c r="A171" s="269"/>
      <c r="B171" s="206" t="s">
        <v>142</v>
      </c>
      <c r="C171" s="194">
        <f t="shared" ref="C171:F171" si="129">C154</f>
        <v>44.459099999999999</v>
      </c>
      <c r="D171" s="174">
        <f t="shared" si="129"/>
        <v>1</v>
      </c>
      <c r="E171" s="165">
        <f t="shared" si="129"/>
        <v>2</v>
      </c>
      <c r="F171" s="195">
        <f t="shared" si="129"/>
        <v>5.57E-2</v>
      </c>
      <c r="G171" s="197">
        <f t="shared" si="116"/>
        <v>4.4022598302094818E-6</v>
      </c>
      <c r="H171" s="298">
        <f t="shared" si="117"/>
        <v>1.5393359992061381E-7</v>
      </c>
      <c r="I171" s="295">
        <f t="shared" si="118"/>
        <v>6.8437493122305611E-6</v>
      </c>
      <c r="J171" s="296">
        <f t="shared" si="119"/>
        <v>1.5545991323063049</v>
      </c>
      <c r="K171" s="196"/>
      <c r="L171" s="197">
        <f t="shared" si="120"/>
        <v>1.6333002090954042E-7</v>
      </c>
      <c r="M171" s="22"/>
      <c r="N171" s="22"/>
      <c r="O171" s="146"/>
    </row>
    <row r="172" spans="1:15" s="143" customFormat="1" ht="45" customHeight="1" thickBot="1" x14ac:dyDescent="0.3">
      <c r="A172" s="269"/>
      <c r="B172" s="623" t="s">
        <v>55</v>
      </c>
      <c r="C172" s="624"/>
      <c r="D172" s="624"/>
      <c r="E172" s="624"/>
      <c r="F172" s="624"/>
      <c r="G172" s="624"/>
      <c r="H172" s="625"/>
      <c r="I172" s="297">
        <f>SUM(I161:I171)</f>
        <v>2.3548583336608733E-4</v>
      </c>
      <c r="J172" s="297">
        <f>SUM(J161:J171)</f>
        <v>30.028720781853746</v>
      </c>
      <c r="K172" s="198"/>
      <c r="L172" s="267"/>
      <c r="M172" s="22"/>
      <c r="N172" s="22"/>
      <c r="O172" s="146"/>
    </row>
    <row r="173" spans="1:15" s="143" customFormat="1" ht="30" customHeight="1" thickBot="1" x14ac:dyDescent="0.3">
      <c r="A173" s="269"/>
      <c r="B173" s="199"/>
      <c r="C173" s="199"/>
      <c r="D173" s="199"/>
      <c r="E173" s="199"/>
      <c r="F173" s="199"/>
      <c r="G173" s="199"/>
      <c r="H173" s="199"/>
      <c r="I173" s="33"/>
      <c r="J173" s="33"/>
      <c r="K173" s="198"/>
      <c r="L173" s="267"/>
      <c r="M173" s="22"/>
      <c r="N173" s="22"/>
      <c r="O173" s="146"/>
    </row>
    <row r="174" spans="1:15" s="143" customFormat="1" ht="20.100000000000001" customHeight="1" x14ac:dyDescent="0.25">
      <c r="A174" s="269"/>
      <c r="B174" s="626" t="s">
        <v>111</v>
      </c>
      <c r="C174" s="627"/>
      <c r="D174" s="627"/>
      <c r="E174" s="627"/>
      <c r="F174" s="627"/>
      <c r="G174" s="627"/>
      <c r="H174" s="627"/>
      <c r="I174" s="627"/>
      <c r="J174" s="627"/>
      <c r="K174" s="627"/>
      <c r="L174" s="628"/>
      <c r="M174" s="22"/>
      <c r="N174" s="22"/>
      <c r="O174" s="146"/>
    </row>
    <row r="175" spans="1:15" s="143" customFormat="1" ht="20.100000000000001" customHeight="1" thickBot="1" x14ac:dyDescent="0.3">
      <c r="A175" s="269"/>
      <c r="B175" s="629"/>
      <c r="C175" s="630"/>
      <c r="D175" s="630"/>
      <c r="E175" s="630"/>
      <c r="F175" s="630"/>
      <c r="G175" s="630"/>
      <c r="H175" s="630"/>
      <c r="I175" s="630"/>
      <c r="J175" s="630"/>
      <c r="K175" s="630"/>
      <c r="L175" s="631"/>
      <c r="M175" s="22"/>
      <c r="N175" s="22"/>
      <c r="O175" s="146"/>
    </row>
    <row r="176" spans="1:15" s="143" customFormat="1" ht="20.100000000000001" customHeight="1" x14ac:dyDescent="0.25">
      <c r="A176" s="269"/>
      <c r="B176" s="634" t="s">
        <v>29</v>
      </c>
      <c r="C176" s="154" t="s">
        <v>97</v>
      </c>
      <c r="D176" s="636" t="s">
        <v>101</v>
      </c>
      <c r="E176" s="636"/>
      <c r="F176" s="637"/>
      <c r="G176" s="270" t="s">
        <v>112</v>
      </c>
      <c r="H176" s="154" t="s">
        <v>98</v>
      </c>
      <c r="I176" s="154" t="s">
        <v>96</v>
      </c>
      <c r="J176" s="634" t="s">
        <v>113</v>
      </c>
      <c r="K176" s="634" t="s">
        <v>114</v>
      </c>
      <c r="L176" s="638" t="s">
        <v>115</v>
      </c>
      <c r="M176" s="22"/>
      <c r="N176" s="22"/>
      <c r="O176" s="146"/>
    </row>
    <row r="177" spans="1:15" s="143" customFormat="1" ht="20.100000000000001" customHeight="1" thickBot="1" x14ac:dyDescent="0.3">
      <c r="A177" s="269"/>
      <c r="B177" s="635"/>
      <c r="C177" s="155" t="s">
        <v>104</v>
      </c>
      <c r="D177" s="157" t="s">
        <v>107</v>
      </c>
      <c r="E177" s="157" t="s">
        <v>107</v>
      </c>
      <c r="F177" s="156" t="s">
        <v>104</v>
      </c>
      <c r="G177" s="187" t="s">
        <v>106</v>
      </c>
      <c r="H177" s="155" t="s">
        <v>105</v>
      </c>
      <c r="I177" s="155" t="s">
        <v>104</v>
      </c>
      <c r="J177" s="635"/>
      <c r="K177" s="635"/>
      <c r="L177" s="639"/>
      <c r="M177" s="22"/>
      <c r="N177" s="22"/>
      <c r="O177" s="146"/>
    </row>
    <row r="178" spans="1:15" s="143" customFormat="1" ht="20.100000000000001" customHeight="1" x14ac:dyDescent="0.25">
      <c r="A178" s="269"/>
      <c r="B178" s="158" t="s">
        <v>37</v>
      </c>
      <c r="C178" s="169">
        <f>C161</f>
        <v>96.975099999999998</v>
      </c>
      <c r="D178" s="159">
        <f>D161</f>
        <v>1</v>
      </c>
      <c r="E178" s="160">
        <f>E161</f>
        <v>2</v>
      </c>
      <c r="F178" s="188">
        <f>F161</f>
        <v>5.57E-2</v>
      </c>
      <c r="G178" s="200">
        <f>ABS(L161)</f>
        <v>2.6612528984746564E-6</v>
      </c>
      <c r="H178" s="201">
        <f>ABS((G178)/(0.2785*150*(F178^2.63)))^(1/0.54)</f>
        <v>6.0609124454364193E-8</v>
      </c>
      <c r="I178" s="189">
        <f>H178*C178</f>
        <v>5.8775759048744126E-6</v>
      </c>
      <c r="J178" s="200">
        <f>I178/G178</f>
        <v>2.2085747311889254</v>
      </c>
      <c r="K178" s="202">
        <f>(-I189)/(1.85*J189)</f>
        <v>-2.9589176486489888E-6</v>
      </c>
      <c r="L178" s="200">
        <f>G178+$K$161</f>
        <v>-1.577676910825285E-6</v>
      </c>
      <c r="M178" s="22"/>
      <c r="N178" s="22"/>
      <c r="O178" s="146"/>
    </row>
    <row r="179" spans="1:15" s="143" customFormat="1" ht="20.100000000000001" customHeight="1" x14ac:dyDescent="0.25">
      <c r="A179" s="269"/>
      <c r="B179" s="161" t="s">
        <v>38</v>
      </c>
      <c r="C179" s="170">
        <f t="shared" ref="C179:F179" si="130">C162</f>
        <v>86.260599999999997</v>
      </c>
      <c r="D179" s="164">
        <f t="shared" si="130"/>
        <v>1</v>
      </c>
      <c r="E179" s="163">
        <f t="shared" si="130"/>
        <v>2</v>
      </c>
      <c r="F179" s="191">
        <f t="shared" si="130"/>
        <v>5.57E-2</v>
      </c>
      <c r="G179" s="193">
        <f t="shared" ref="G179:G188" si="131">ABS(L162)</f>
        <v>5.566725127624291E-8</v>
      </c>
      <c r="H179" s="203">
        <f t="shared" ref="H179:H188" si="132">ABS((G179)/(0.2785*150*(F179^2.63)))^(1/0.54)</f>
        <v>4.7030334289324834E-11</v>
      </c>
      <c r="I179" s="192">
        <f t="shared" ref="I179:I188" si="133">H179*C179</f>
        <v>4.0568648539977336E-9</v>
      </c>
      <c r="J179" s="193">
        <f t="shared" ref="J179:J188" si="134">I179/G179</f>
        <v>7.2877046396021355E-2</v>
      </c>
      <c r="K179" s="192"/>
      <c r="L179" s="193">
        <f t="shared" ref="L179:L188" si="135">G179+$K$161</f>
        <v>-4.1832625580236985E-6</v>
      </c>
      <c r="M179" s="22"/>
      <c r="N179" s="22"/>
      <c r="O179" s="146"/>
    </row>
    <row r="180" spans="1:15" s="143" customFormat="1" ht="20.100000000000001" customHeight="1" x14ac:dyDescent="0.25">
      <c r="A180" s="269"/>
      <c r="B180" s="161" t="s">
        <v>39</v>
      </c>
      <c r="C180" s="170">
        <f t="shared" ref="C180:F180" si="136">C163</f>
        <v>111.3882</v>
      </c>
      <c r="D180" s="164">
        <f t="shared" si="136"/>
        <v>1</v>
      </c>
      <c r="E180" s="163">
        <f t="shared" si="136"/>
        <v>2</v>
      </c>
      <c r="F180" s="191">
        <f t="shared" si="136"/>
        <v>5.57E-2</v>
      </c>
      <c r="G180" s="193">
        <f t="shared" si="131"/>
        <v>1.5097507509494187E-6</v>
      </c>
      <c r="H180" s="203">
        <f t="shared" si="132"/>
        <v>2.121521646977974E-8</v>
      </c>
      <c r="I180" s="192">
        <f t="shared" si="133"/>
        <v>2.3631247751791196E-6</v>
      </c>
      <c r="J180" s="193">
        <f t="shared" si="134"/>
        <v>1.5652416623691361</v>
      </c>
      <c r="K180" s="192"/>
      <c r="L180" s="193">
        <f t="shared" si="135"/>
        <v>-2.7291790583505227E-6</v>
      </c>
      <c r="M180" s="22"/>
      <c r="N180" s="22"/>
      <c r="O180" s="146"/>
    </row>
    <row r="181" spans="1:15" s="143" customFormat="1" ht="20.100000000000001" customHeight="1" x14ac:dyDescent="0.25">
      <c r="A181" s="269"/>
      <c r="B181" s="161" t="s">
        <v>64</v>
      </c>
      <c r="C181" s="170">
        <f t="shared" ref="C181:F181" si="137">C164</f>
        <v>94.485900000000001</v>
      </c>
      <c r="D181" s="164">
        <f t="shared" si="137"/>
        <v>1</v>
      </c>
      <c r="E181" s="163">
        <f t="shared" si="137"/>
        <v>2</v>
      </c>
      <c r="F181" s="191">
        <f t="shared" si="137"/>
        <v>5.57E-2</v>
      </c>
      <c r="G181" s="193">
        <f t="shared" si="131"/>
        <v>2.3936398599300516E-6</v>
      </c>
      <c r="H181" s="203">
        <f t="shared" si="132"/>
        <v>4.980835481566547E-8</v>
      </c>
      <c r="I181" s="192">
        <f t="shared" si="133"/>
        <v>4.7061872322774857E-6</v>
      </c>
      <c r="J181" s="193">
        <f t="shared" si="134"/>
        <v>1.9661216839926006</v>
      </c>
      <c r="K181" s="192"/>
      <c r="L181" s="193">
        <f t="shared" si="135"/>
        <v>-1.8452899493698898E-6</v>
      </c>
      <c r="M181" s="22"/>
      <c r="N181" s="22"/>
      <c r="O181" s="146"/>
    </row>
    <row r="182" spans="1:15" s="143" customFormat="1" ht="20.100000000000001" customHeight="1" x14ac:dyDescent="0.25">
      <c r="A182" s="269"/>
      <c r="B182" s="161" t="s">
        <v>65</v>
      </c>
      <c r="C182" s="170">
        <f t="shared" ref="C182:F182" si="138">C165</f>
        <v>75.623900000000006</v>
      </c>
      <c r="D182" s="164">
        <f t="shared" si="138"/>
        <v>1</v>
      </c>
      <c r="E182" s="163">
        <f t="shared" si="138"/>
        <v>2</v>
      </c>
      <c r="F182" s="191">
        <f t="shared" si="138"/>
        <v>5.57E-2</v>
      </c>
      <c r="G182" s="193">
        <f t="shared" si="131"/>
        <v>1.5036145005240974E-6</v>
      </c>
      <c r="H182" s="203">
        <f t="shared" si="132"/>
        <v>2.1055812584845472E-8</v>
      </c>
      <c r="I182" s="192">
        <f t="shared" si="133"/>
        <v>1.5923226653350957E-6</v>
      </c>
      <c r="J182" s="193">
        <f t="shared" si="134"/>
        <v>1.0589966143450189</v>
      </c>
      <c r="K182" s="192"/>
      <c r="L182" s="193">
        <f t="shared" si="135"/>
        <v>-2.735315308775844E-6</v>
      </c>
      <c r="M182" s="22"/>
      <c r="N182" s="22"/>
      <c r="O182" s="146"/>
    </row>
    <row r="183" spans="1:15" s="143" customFormat="1" ht="20.100000000000001" customHeight="1" x14ac:dyDescent="0.25">
      <c r="A183" s="269"/>
      <c r="B183" s="161" t="s">
        <v>61</v>
      </c>
      <c r="C183" s="170">
        <f t="shared" ref="C183:F183" si="139">C166</f>
        <v>33.049199999999999</v>
      </c>
      <c r="D183" s="164">
        <f t="shared" si="139"/>
        <v>1</v>
      </c>
      <c r="E183" s="163">
        <f t="shared" si="139"/>
        <v>2</v>
      </c>
      <c r="F183" s="191">
        <f t="shared" si="139"/>
        <v>5.57E-2</v>
      </c>
      <c r="G183" s="193">
        <f t="shared" si="131"/>
        <v>1.4271771691883684E-6</v>
      </c>
      <c r="H183" s="203">
        <f t="shared" si="132"/>
        <v>1.9116641989702432E-8</v>
      </c>
      <c r="I183" s="192">
        <f t="shared" si="133"/>
        <v>6.3178972444607362E-7</v>
      </c>
      <c r="J183" s="193">
        <f t="shared" si="134"/>
        <v>0.44268485937549762</v>
      </c>
      <c r="K183" s="192"/>
      <c r="L183" s="193">
        <f t="shared" si="135"/>
        <v>-2.8117526401115729E-6</v>
      </c>
      <c r="M183" s="22"/>
      <c r="N183" s="22"/>
      <c r="O183" s="146"/>
    </row>
    <row r="184" spans="1:15" s="143" customFormat="1" ht="20.100000000000001" customHeight="1" x14ac:dyDescent="0.25">
      <c r="A184" s="269"/>
      <c r="B184" s="161" t="s">
        <v>143</v>
      </c>
      <c r="C184" s="170">
        <f t="shared" ref="C184:F184" si="140">C167</f>
        <v>26.0762</v>
      </c>
      <c r="D184" s="164">
        <f t="shared" si="140"/>
        <v>1</v>
      </c>
      <c r="E184" s="163">
        <f t="shared" si="140"/>
        <v>2</v>
      </c>
      <c r="F184" s="191">
        <f t="shared" si="140"/>
        <v>5.57E-2</v>
      </c>
      <c r="G184" s="193">
        <f t="shared" si="131"/>
        <v>1.4571858007470453E-6</v>
      </c>
      <c r="H184" s="203">
        <f t="shared" si="132"/>
        <v>1.9867666815813476E-8</v>
      </c>
      <c r="I184" s="192">
        <f t="shared" si="133"/>
        <v>5.1807325342251531E-7</v>
      </c>
      <c r="J184" s="193">
        <f t="shared" si="134"/>
        <v>0.35552999017484133</v>
      </c>
      <c r="K184" s="192"/>
      <c r="L184" s="193">
        <f t="shared" si="135"/>
        <v>-2.7817440085528961E-6</v>
      </c>
      <c r="M184" s="22"/>
      <c r="N184" s="22"/>
      <c r="O184" s="146"/>
    </row>
    <row r="185" spans="1:15" s="143" customFormat="1" ht="20.100000000000001" customHeight="1" x14ac:dyDescent="0.25">
      <c r="A185" s="269"/>
      <c r="B185" s="161" t="s">
        <v>141</v>
      </c>
      <c r="C185" s="170">
        <f t="shared" ref="C185:F185" si="141">C168</f>
        <v>17.547599999999999</v>
      </c>
      <c r="D185" s="164">
        <f t="shared" si="141"/>
        <v>1</v>
      </c>
      <c r="E185" s="163">
        <f t="shared" si="141"/>
        <v>2</v>
      </c>
      <c r="F185" s="191">
        <f t="shared" si="141"/>
        <v>5.57E-2</v>
      </c>
      <c r="G185" s="193">
        <f t="shared" si="131"/>
        <v>1.1600731223922416E-5</v>
      </c>
      <c r="H185" s="203">
        <f t="shared" si="132"/>
        <v>9.2599925020718589E-7</v>
      </c>
      <c r="I185" s="192">
        <f t="shared" si="133"/>
        <v>1.6249064442935614E-5</v>
      </c>
      <c r="J185" s="193">
        <f t="shared" si="134"/>
        <v>1.4006931226393426</v>
      </c>
      <c r="K185" s="192"/>
      <c r="L185" s="193">
        <f t="shared" si="135"/>
        <v>7.361801414622475E-6</v>
      </c>
      <c r="M185" s="22"/>
      <c r="N185" s="22"/>
      <c r="O185" s="146"/>
    </row>
    <row r="186" spans="1:15" s="143" customFormat="1" ht="20.100000000000001" customHeight="1" x14ac:dyDescent="0.25">
      <c r="A186" s="269"/>
      <c r="B186" s="161" t="s">
        <v>85</v>
      </c>
      <c r="C186" s="170">
        <f t="shared" ref="C186:F186" si="142">C169</f>
        <v>95.631299999999982</v>
      </c>
      <c r="D186" s="164">
        <f t="shared" si="142"/>
        <v>1</v>
      </c>
      <c r="E186" s="163">
        <f t="shared" si="142"/>
        <v>2</v>
      </c>
      <c r="F186" s="191">
        <f t="shared" si="142"/>
        <v>5.57E-2</v>
      </c>
      <c r="G186" s="193">
        <f t="shared" si="131"/>
        <v>8.5817234711366515E-6</v>
      </c>
      <c r="H186" s="203">
        <f t="shared" si="132"/>
        <v>5.2988684466425999E-7</v>
      </c>
      <c r="I186" s="192">
        <f t="shared" si="133"/>
        <v>5.0673767808141239E-5</v>
      </c>
      <c r="J186" s="193">
        <f t="shared" si="134"/>
        <v>5.904847432869972</v>
      </c>
      <c r="K186" s="192"/>
      <c r="L186" s="193">
        <f t="shared" si="135"/>
        <v>4.3427936618367101E-6</v>
      </c>
      <c r="M186" s="22"/>
      <c r="N186" s="22"/>
      <c r="O186" s="146"/>
    </row>
    <row r="187" spans="1:15" s="143" customFormat="1" ht="20.100000000000001" customHeight="1" x14ac:dyDescent="0.25">
      <c r="A187" s="269"/>
      <c r="B187" s="161" t="s">
        <v>86</v>
      </c>
      <c r="C187" s="170">
        <f t="shared" ref="C187:F187" si="143">C170</f>
        <v>4.4747000000000003</v>
      </c>
      <c r="D187" s="164">
        <f t="shared" si="143"/>
        <v>1</v>
      </c>
      <c r="E187" s="163">
        <f t="shared" si="143"/>
        <v>2</v>
      </c>
      <c r="F187" s="191">
        <f t="shared" si="143"/>
        <v>5.57E-2</v>
      </c>
      <c r="G187" s="193">
        <f t="shared" si="131"/>
        <v>6.0652762295005552E-7</v>
      </c>
      <c r="H187" s="203">
        <f t="shared" si="132"/>
        <v>3.9193395861112844E-9</v>
      </c>
      <c r="I187" s="192">
        <f t="shared" si="133"/>
        <v>1.7537868845972166E-8</v>
      </c>
      <c r="J187" s="193">
        <f t="shared" si="134"/>
        <v>2.8915202181016446E-2</v>
      </c>
      <c r="K187" s="192"/>
      <c r="L187" s="193">
        <f t="shared" si="135"/>
        <v>-3.6324021863498858E-6</v>
      </c>
      <c r="M187" s="22"/>
      <c r="N187" s="22"/>
      <c r="O187" s="146"/>
    </row>
    <row r="188" spans="1:15" s="143" customFormat="1" ht="20.100000000000001" customHeight="1" thickBot="1" x14ac:dyDescent="0.3">
      <c r="A188" s="269"/>
      <c r="B188" s="206" t="s">
        <v>142</v>
      </c>
      <c r="C188" s="194">
        <f t="shared" ref="C188:F188" si="144">C171</f>
        <v>44.459099999999999</v>
      </c>
      <c r="D188" s="174">
        <f t="shared" si="144"/>
        <v>1</v>
      </c>
      <c r="E188" s="165">
        <f t="shared" si="144"/>
        <v>2</v>
      </c>
      <c r="F188" s="195">
        <f t="shared" si="144"/>
        <v>5.57E-2</v>
      </c>
      <c r="G188" s="197">
        <f t="shared" si="131"/>
        <v>1.6333002090954042E-7</v>
      </c>
      <c r="H188" s="298">
        <f t="shared" si="132"/>
        <v>3.4518847599362011E-10</v>
      </c>
      <c r="I188" s="295">
        <f t="shared" si="133"/>
        <v>1.5346768973047955E-8</v>
      </c>
      <c r="J188" s="296">
        <f t="shared" si="134"/>
        <v>9.3961715596348888E-2</v>
      </c>
      <c r="K188" s="196"/>
      <c r="L188" s="197">
        <f t="shared" si="135"/>
        <v>-4.0755997883904009E-6</v>
      </c>
      <c r="M188" s="22"/>
      <c r="N188" s="22"/>
      <c r="O188" s="146"/>
    </row>
    <row r="189" spans="1:15" s="143" customFormat="1" ht="45" customHeight="1" thickBot="1" x14ac:dyDescent="0.3">
      <c r="A189" s="269"/>
      <c r="B189" s="623" t="s">
        <v>55</v>
      </c>
      <c r="C189" s="624"/>
      <c r="D189" s="624"/>
      <c r="E189" s="624"/>
      <c r="F189" s="624"/>
      <c r="G189" s="624"/>
      <c r="H189" s="625"/>
      <c r="I189" s="297">
        <f>SUM(I178:I188)</f>
        <v>8.2648847309284583E-5</v>
      </c>
      <c r="J189" s="297">
        <f>SUM(J178:J188)</f>
        <v>15.098444061128721</v>
      </c>
      <c r="K189" s="198"/>
      <c r="L189" s="267"/>
      <c r="M189" s="22"/>
      <c r="N189" s="22"/>
      <c r="O189" s="146"/>
    </row>
    <row r="190" spans="1:15" s="143" customFormat="1" ht="30" customHeight="1" thickBot="1" x14ac:dyDescent="0.3">
      <c r="A190" s="269"/>
      <c r="B190" s="199"/>
      <c r="C190" s="199"/>
      <c r="D190" s="199"/>
      <c r="E190" s="199"/>
      <c r="F190" s="199"/>
      <c r="G190" s="199"/>
      <c r="H190" s="199"/>
      <c r="I190" s="33"/>
      <c r="J190" s="33"/>
      <c r="K190" s="198"/>
      <c r="L190" s="267"/>
      <c r="M190" s="22"/>
      <c r="N190" s="22"/>
      <c r="O190" s="146"/>
    </row>
    <row r="191" spans="1:15" s="143" customFormat="1" ht="20.100000000000001" customHeight="1" x14ac:dyDescent="0.25">
      <c r="A191" s="269"/>
      <c r="B191" s="626" t="s">
        <v>111</v>
      </c>
      <c r="C191" s="627"/>
      <c r="D191" s="627"/>
      <c r="E191" s="627"/>
      <c r="F191" s="627"/>
      <c r="G191" s="627"/>
      <c r="H191" s="627"/>
      <c r="I191" s="627"/>
      <c r="J191" s="627"/>
      <c r="K191" s="627"/>
      <c r="L191" s="628"/>
      <c r="M191" s="22"/>
      <c r="N191" s="22"/>
      <c r="O191" s="146"/>
    </row>
    <row r="192" spans="1:15" s="143" customFormat="1" ht="20.100000000000001" customHeight="1" thickBot="1" x14ac:dyDescent="0.3">
      <c r="A192" s="269"/>
      <c r="B192" s="629"/>
      <c r="C192" s="630"/>
      <c r="D192" s="630"/>
      <c r="E192" s="630"/>
      <c r="F192" s="630"/>
      <c r="G192" s="630"/>
      <c r="H192" s="630"/>
      <c r="I192" s="630"/>
      <c r="J192" s="630"/>
      <c r="K192" s="630"/>
      <c r="L192" s="631"/>
      <c r="M192" s="22"/>
      <c r="N192" s="22"/>
      <c r="O192" s="146"/>
    </row>
    <row r="193" spans="1:15" s="143" customFormat="1" ht="20.100000000000001" customHeight="1" x14ac:dyDescent="0.25">
      <c r="A193" s="269"/>
      <c r="B193" s="634" t="s">
        <v>29</v>
      </c>
      <c r="C193" s="154" t="s">
        <v>97</v>
      </c>
      <c r="D193" s="636" t="s">
        <v>101</v>
      </c>
      <c r="E193" s="636"/>
      <c r="F193" s="637"/>
      <c r="G193" s="270" t="s">
        <v>112</v>
      </c>
      <c r="H193" s="154" t="s">
        <v>98</v>
      </c>
      <c r="I193" s="154" t="s">
        <v>96</v>
      </c>
      <c r="J193" s="634" t="s">
        <v>113</v>
      </c>
      <c r="K193" s="634" t="s">
        <v>114</v>
      </c>
      <c r="L193" s="638" t="s">
        <v>115</v>
      </c>
      <c r="M193" s="22"/>
      <c r="N193" s="22"/>
      <c r="O193" s="146"/>
    </row>
    <row r="194" spans="1:15" s="143" customFormat="1" ht="20.100000000000001" customHeight="1" thickBot="1" x14ac:dyDescent="0.3">
      <c r="A194" s="269"/>
      <c r="B194" s="635"/>
      <c r="C194" s="155" t="s">
        <v>104</v>
      </c>
      <c r="D194" s="157" t="s">
        <v>107</v>
      </c>
      <c r="E194" s="157" t="s">
        <v>107</v>
      </c>
      <c r="F194" s="156" t="s">
        <v>104</v>
      </c>
      <c r="G194" s="187" t="s">
        <v>106</v>
      </c>
      <c r="H194" s="155" t="s">
        <v>105</v>
      </c>
      <c r="I194" s="155" t="s">
        <v>104</v>
      </c>
      <c r="J194" s="635"/>
      <c r="K194" s="635"/>
      <c r="L194" s="639"/>
      <c r="M194" s="22"/>
      <c r="N194" s="22"/>
      <c r="O194" s="146"/>
    </row>
    <row r="195" spans="1:15" s="143" customFormat="1" ht="20.100000000000001" customHeight="1" x14ac:dyDescent="0.25">
      <c r="A195" s="269"/>
      <c r="B195" s="158" t="s">
        <v>37</v>
      </c>
      <c r="C195" s="169">
        <f>C178</f>
        <v>96.975099999999998</v>
      </c>
      <c r="D195" s="159">
        <f>D178</f>
        <v>1</v>
      </c>
      <c r="E195" s="160">
        <f>E178</f>
        <v>2</v>
      </c>
      <c r="F195" s="188">
        <f>F178</f>
        <v>5.57E-2</v>
      </c>
      <c r="G195" s="200">
        <f>ABS(L178)</f>
        <v>1.577676910825285E-6</v>
      </c>
      <c r="H195" s="201">
        <f>ABS((G195)/(0.2785*150*(F195^2.63)))^(1/0.54)</f>
        <v>2.3016621188405266E-8</v>
      </c>
      <c r="I195" s="189">
        <f>H195*C195</f>
        <v>2.2320391414077193E-6</v>
      </c>
      <c r="J195" s="200">
        <f>I195/G195</f>
        <v>1.4147631407245078</v>
      </c>
      <c r="K195" s="202">
        <f>(-I206)/(1.85*J206)</f>
        <v>-1.8804001616159002E-6</v>
      </c>
      <c r="L195" s="200">
        <f>G195+$K$195</f>
        <v>-3.0272325079061519E-7</v>
      </c>
      <c r="M195" s="22"/>
      <c r="N195" s="22"/>
      <c r="O195" s="145"/>
    </row>
    <row r="196" spans="1:15" s="143" customFormat="1" ht="20.100000000000001" customHeight="1" x14ac:dyDescent="0.25">
      <c r="A196" s="269"/>
      <c r="B196" s="161" t="s">
        <v>38</v>
      </c>
      <c r="C196" s="170">
        <f t="shared" ref="C196:F196" si="145">C179</f>
        <v>86.260599999999997</v>
      </c>
      <c r="D196" s="164">
        <f t="shared" si="145"/>
        <v>1</v>
      </c>
      <c r="E196" s="163">
        <f t="shared" si="145"/>
        <v>2</v>
      </c>
      <c r="F196" s="191">
        <f t="shared" si="145"/>
        <v>5.57E-2</v>
      </c>
      <c r="G196" s="193">
        <f t="shared" ref="G196:G205" si="146">ABS(L179)</f>
        <v>4.1832625580236985E-6</v>
      </c>
      <c r="H196" s="203">
        <f t="shared" ref="H196:H205" si="147">ABS((G196)/(0.2785*150*(F196^2.63)))^(1/0.54)</f>
        <v>1.4005395367728787E-7</v>
      </c>
      <c r="I196" s="192">
        <f t="shared" ref="I196:I205" si="148">H196*C196</f>
        <v>1.2081138076575057E-5</v>
      </c>
      <c r="J196" s="193">
        <f t="shared" ref="J196:J205" si="149">I196/G196</f>
        <v>2.8879703124067255</v>
      </c>
      <c r="K196" s="192"/>
      <c r="L196" s="193">
        <f t="shared" ref="L196:L205" si="150">G196+$K$195</f>
        <v>2.3028623964077981E-6</v>
      </c>
      <c r="M196" s="22"/>
      <c r="N196" s="22"/>
      <c r="O196" s="146"/>
    </row>
    <row r="197" spans="1:15" s="143" customFormat="1" ht="20.100000000000001" customHeight="1" x14ac:dyDescent="0.25">
      <c r="A197" s="269"/>
      <c r="B197" s="161" t="s">
        <v>39</v>
      </c>
      <c r="C197" s="170">
        <f t="shared" ref="C197:F197" si="151">C180</f>
        <v>111.3882</v>
      </c>
      <c r="D197" s="164">
        <f t="shared" si="151"/>
        <v>1</v>
      </c>
      <c r="E197" s="163">
        <f t="shared" si="151"/>
        <v>2</v>
      </c>
      <c r="F197" s="191">
        <f t="shared" si="151"/>
        <v>5.57E-2</v>
      </c>
      <c r="G197" s="193">
        <f t="shared" si="146"/>
        <v>2.7291790583505227E-6</v>
      </c>
      <c r="H197" s="203">
        <f t="shared" si="147"/>
        <v>6.3505035556319374E-8</v>
      </c>
      <c r="I197" s="192">
        <f t="shared" si="148"/>
        <v>7.0737116015544133E-6</v>
      </c>
      <c r="J197" s="193">
        <f t="shared" si="149"/>
        <v>2.5918825589368493</v>
      </c>
      <c r="K197" s="192"/>
      <c r="L197" s="193">
        <f t="shared" si="150"/>
        <v>8.4877889673462249E-7</v>
      </c>
      <c r="M197" s="22"/>
      <c r="N197" s="22"/>
      <c r="O197" s="146"/>
    </row>
    <row r="198" spans="1:15" s="143" customFormat="1" ht="20.100000000000001" customHeight="1" x14ac:dyDescent="0.25">
      <c r="A198" s="269"/>
      <c r="B198" s="161" t="s">
        <v>64</v>
      </c>
      <c r="C198" s="170">
        <f t="shared" ref="C198:F198" si="152">C181</f>
        <v>94.485900000000001</v>
      </c>
      <c r="D198" s="164">
        <f t="shared" si="152"/>
        <v>1</v>
      </c>
      <c r="E198" s="163">
        <f t="shared" si="152"/>
        <v>2</v>
      </c>
      <c r="F198" s="191">
        <f t="shared" si="152"/>
        <v>5.57E-2</v>
      </c>
      <c r="G198" s="193">
        <f t="shared" si="146"/>
        <v>1.8452899493698898E-6</v>
      </c>
      <c r="H198" s="203">
        <f t="shared" si="147"/>
        <v>3.0764771471883042E-8</v>
      </c>
      <c r="I198" s="192">
        <f t="shared" si="148"/>
        <v>2.9068371208151941E-6</v>
      </c>
      <c r="J198" s="193">
        <f t="shared" si="149"/>
        <v>1.5752739138950984</v>
      </c>
      <c r="K198" s="192"/>
      <c r="L198" s="193">
        <f t="shared" si="150"/>
        <v>-3.5110212246010426E-8</v>
      </c>
      <c r="M198" s="22"/>
      <c r="N198" s="22"/>
      <c r="O198" s="146"/>
    </row>
    <row r="199" spans="1:15" s="143" customFormat="1" ht="20.100000000000001" customHeight="1" x14ac:dyDescent="0.25">
      <c r="A199" s="269"/>
      <c r="B199" s="161" t="s">
        <v>65</v>
      </c>
      <c r="C199" s="170">
        <f t="shared" ref="C199:F199" si="153">C182</f>
        <v>75.623900000000006</v>
      </c>
      <c r="D199" s="164">
        <f t="shared" si="153"/>
        <v>1</v>
      </c>
      <c r="E199" s="163">
        <f t="shared" si="153"/>
        <v>2</v>
      </c>
      <c r="F199" s="191">
        <f t="shared" si="153"/>
        <v>5.57E-2</v>
      </c>
      <c r="G199" s="193">
        <f t="shared" si="146"/>
        <v>2.735315308775844E-6</v>
      </c>
      <c r="H199" s="203">
        <f t="shared" si="147"/>
        <v>6.3769703354310099E-8</v>
      </c>
      <c r="I199" s="192">
        <f t="shared" si="148"/>
        <v>4.8225136694960118E-6</v>
      </c>
      <c r="J199" s="193">
        <f t="shared" si="149"/>
        <v>1.763055854666447</v>
      </c>
      <c r="K199" s="192"/>
      <c r="L199" s="193">
        <f t="shared" si="150"/>
        <v>8.5491514715994381E-7</v>
      </c>
      <c r="M199" s="22"/>
      <c r="N199" s="22"/>
      <c r="O199" s="146"/>
    </row>
    <row r="200" spans="1:15" s="143" customFormat="1" ht="20.100000000000001" customHeight="1" x14ac:dyDescent="0.25">
      <c r="A200" s="269"/>
      <c r="B200" s="161" t="s">
        <v>61</v>
      </c>
      <c r="C200" s="170">
        <f t="shared" ref="C200:F200" si="154">C183</f>
        <v>33.049199999999999</v>
      </c>
      <c r="D200" s="164">
        <f t="shared" si="154"/>
        <v>1</v>
      </c>
      <c r="E200" s="163">
        <f t="shared" si="154"/>
        <v>2</v>
      </c>
      <c r="F200" s="191">
        <f t="shared" si="154"/>
        <v>5.57E-2</v>
      </c>
      <c r="G200" s="193">
        <f t="shared" si="146"/>
        <v>2.8117526401115729E-6</v>
      </c>
      <c r="H200" s="203">
        <f t="shared" si="147"/>
        <v>6.7108964326744201E-8</v>
      </c>
      <c r="I200" s="192">
        <f t="shared" si="148"/>
        <v>2.2178975838274345E-6</v>
      </c>
      <c r="J200" s="193">
        <f t="shared" si="149"/>
        <v>0.78879541257918984</v>
      </c>
      <c r="K200" s="192"/>
      <c r="L200" s="193">
        <f t="shared" si="150"/>
        <v>9.3135247849567275E-7</v>
      </c>
      <c r="M200" s="22"/>
      <c r="N200" s="22"/>
      <c r="O200" s="146"/>
    </row>
    <row r="201" spans="1:15" s="143" customFormat="1" ht="20.100000000000001" customHeight="1" x14ac:dyDescent="0.25">
      <c r="A201" s="269"/>
      <c r="B201" s="161" t="s">
        <v>143</v>
      </c>
      <c r="C201" s="170">
        <f t="shared" ref="C201:F201" si="155">C184</f>
        <v>26.0762</v>
      </c>
      <c r="D201" s="164">
        <f t="shared" si="155"/>
        <v>1</v>
      </c>
      <c r="E201" s="163">
        <f t="shared" si="155"/>
        <v>2</v>
      </c>
      <c r="F201" s="191">
        <f t="shared" si="155"/>
        <v>5.57E-2</v>
      </c>
      <c r="G201" s="193">
        <f t="shared" si="146"/>
        <v>2.7817440085528961E-6</v>
      </c>
      <c r="H201" s="203">
        <f t="shared" si="147"/>
        <v>6.5788653683981493E-8</v>
      </c>
      <c r="I201" s="192">
        <f t="shared" si="148"/>
        <v>1.7155180911942382E-6</v>
      </c>
      <c r="J201" s="193">
        <f t="shared" si="149"/>
        <v>0.61670595350241297</v>
      </c>
      <c r="K201" s="192"/>
      <c r="L201" s="193">
        <f t="shared" si="150"/>
        <v>9.0134384693699586E-7</v>
      </c>
      <c r="M201" s="22"/>
      <c r="N201" s="22"/>
      <c r="O201" s="146"/>
    </row>
    <row r="202" spans="1:15" s="143" customFormat="1" ht="20.100000000000001" customHeight="1" x14ac:dyDescent="0.25">
      <c r="A202" s="269"/>
      <c r="B202" s="161" t="s">
        <v>141</v>
      </c>
      <c r="C202" s="170">
        <f t="shared" ref="C202:F202" si="156">C185</f>
        <v>17.547599999999999</v>
      </c>
      <c r="D202" s="164">
        <f t="shared" si="156"/>
        <v>1</v>
      </c>
      <c r="E202" s="163">
        <f t="shared" si="156"/>
        <v>2</v>
      </c>
      <c r="F202" s="191">
        <f t="shared" si="156"/>
        <v>5.57E-2</v>
      </c>
      <c r="G202" s="193">
        <f t="shared" si="146"/>
        <v>7.361801414622475E-6</v>
      </c>
      <c r="H202" s="203">
        <f t="shared" si="147"/>
        <v>3.9890322607683611E-7</v>
      </c>
      <c r="I202" s="192">
        <f t="shared" si="148"/>
        <v>6.9997942499058891E-6</v>
      </c>
      <c r="J202" s="193">
        <f t="shared" si="149"/>
        <v>0.95082627955739962</v>
      </c>
      <c r="K202" s="192"/>
      <c r="L202" s="193">
        <f t="shared" si="150"/>
        <v>5.4814012530065746E-6</v>
      </c>
      <c r="M202" s="22"/>
      <c r="N202" s="22"/>
      <c r="O202" s="146"/>
    </row>
    <row r="203" spans="1:15" ht="20.100000000000001" customHeight="1" x14ac:dyDescent="0.25">
      <c r="A203" s="269"/>
      <c r="B203" s="161" t="s">
        <v>85</v>
      </c>
      <c r="C203" s="170">
        <f t="shared" ref="C203:F203" si="157">C186</f>
        <v>95.631299999999982</v>
      </c>
      <c r="D203" s="164">
        <f t="shared" si="157"/>
        <v>1</v>
      </c>
      <c r="E203" s="163">
        <f t="shared" si="157"/>
        <v>2</v>
      </c>
      <c r="F203" s="191">
        <f t="shared" si="157"/>
        <v>5.57E-2</v>
      </c>
      <c r="G203" s="193">
        <f t="shared" si="146"/>
        <v>4.3427936618367101E-6</v>
      </c>
      <c r="H203" s="203">
        <f t="shared" si="147"/>
        <v>1.5010512012019754E-7</v>
      </c>
      <c r="I203" s="192">
        <f t="shared" si="148"/>
        <v>1.4354747773750644E-5</v>
      </c>
      <c r="J203" s="193">
        <f t="shared" si="149"/>
        <v>3.3054178695838727</v>
      </c>
      <c r="K203" s="192"/>
      <c r="L203" s="193">
        <f t="shared" si="150"/>
        <v>2.4623935002208097E-6</v>
      </c>
      <c r="M203" s="22"/>
      <c r="N203" s="22"/>
    </row>
    <row r="204" spans="1:15" ht="20.100000000000001" customHeight="1" x14ac:dyDescent="0.25">
      <c r="A204" s="269"/>
      <c r="B204" s="161" t="s">
        <v>86</v>
      </c>
      <c r="C204" s="170">
        <f t="shared" ref="C204:F204" si="158">C187</f>
        <v>4.4747000000000003</v>
      </c>
      <c r="D204" s="164">
        <f t="shared" si="158"/>
        <v>1</v>
      </c>
      <c r="E204" s="163">
        <f t="shared" si="158"/>
        <v>2</v>
      </c>
      <c r="F204" s="191">
        <f t="shared" si="158"/>
        <v>5.57E-2</v>
      </c>
      <c r="G204" s="193">
        <f t="shared" si="146"/>
        <v>3.6324021863498858E-6</v>
      </c>
      <c r="H204" s="203">
        <f t="shared" si="147"/>
        <v>1.0782950329759129E-7</v>
      </c>
      <c r="I204" s="192">
        <f t="shared" si="148"/>
        <v>4.8250467840573181E-7</v>
      </c>
      <c r="J204" s="193">
        <f t="shared" si="149"/>
        <v>0.13283349520571378</v>
      </c>
      <c r="K204" s="192"/>
      <c r="L204" s="193">
        <f t="shared" si="150"/>
        <v>1.7520020247339857E-6</v>
      </c>
      <c r="M204" s="22"/>
      <c r="N204" s="22"/>
    </row>
    <row r="205" spans="1:15" ht="20.100000000000001" customHeight="1" thickBot="1" x14ac:dyDescent="0.3">
      <c r="A205" s="269"/>
      <c r="B205" s="206" t="s">
        <v>142</v>
      </c>
      <c r="C205" s="194">
        <f t="shared" ref="C205:F205" si="159">C188</f>
        <v>44.459099999999999</v>
      </c>
      <c r="D205" s="174">
        <f t="shared" si="159"/>
        <v>1</v>
      </c>
      <c r="E205" s="165">
        <f t="shared" si="159"/>
        <v>2</v>
      </c>
      <c r="F205" s="195">
        <f t="shared" si="159"/>
        <v>5.57E-2</v>
      </c>
      <c r="G205" s="197">
        <f t="shared" si="146"/>
        <v>4.0755997883904009E-6</v>
      </c>
      <c r="H205" s="298">
        <f t="shared" si="147"/>
        <v>1.3345220615223573E-7</v>
      </c>
      <c r="I205" s="295">
        <f t="shared" si="148"/>
        <v>5.9331649785428634E-6</v>
      </c>
      <c r="J205" s="296">
        <f t="shared" si="149"/>
        <v>1.4557771338206102</v>
      </c>
      <c r="K205" s="196"/>
      <c r="L205" s="197">
        <f t="shared" si="150"/>
        <v>2.1951996267745005E-6</v>
      </c>
      <c r="M205" s="22"/>
      <c r="N205" s="22"/>
    </row>
    <row r="206" spans="1:15" ht="45" customHeight="1" thickBot="1" x14ac:dyDescent="0.3">
      <c r="A206" s="269"/>
      <c r="B206" s="623" t="s">
        <v>55</v>
      </c>
      <c r="C206" s="624"/>
      <c r="D206" s="624"/>
      <c r="E206" s="624"/>
      <c r="F206" s="624"/>
      <c r="G206" s="624"/>
      <c r="H206" s="625"/>
      <c r="I206" s="297">
        <f>SUM(I195:I205)</f>
        <v>6.0819866965475201E-5</v>
      </c>
      <c r="J206" s="297">
        <f>SUM(J195:J205)</f>
        <v>17.483301924878827</v>
      </c>
      <c r="K206" s="198"/>
      <c r="L206" s="267"/>
      <c r="M206" s="22"/>
      <c r="N206" s="22"/>
    </row>
    <row r="207" spans="1:15" ht="30" customHeight="1" thickBot="1" x14ac:dyDescent="0.3">
      <c r="A207" s="269"/>
      <c r="B207" s="199"/>
      <c r="C207" s="199"/>
      <c r="D207" s="199"/>
      <c r="E207" s="199"/>
      <c r="F207" s="199"/>
      <c r="G207" s="199"/>
      <c r="H207" s="199"/>
      <c r="I207" s="33"/>
      <c r="J207" s="33"/>
      <c r="K207" s="198"/>
      <c r="L207" s="267"/>
      <c r="M207" s="22"/>
      <c r="N207" s="22"/>
    </row>
    <row r="208" spans="1:15" ht="20.100000000000001" customHeight="1" x14ac:dyDescent="0.25">
      <c r="A208" s="269"/>
      <c r="B208" s="626" t="s">
        <v>111</v>
      </c>
      <c r="C208" s="627"/>
      <c r="D208" s="627"/>
      <c r="E208" s="627"/>
      <c r="F208" s="627"/>
      <c r="G208" s="627"/>
      <c r="H208" s="627"/>
      <c r="I208" s="627"/>
      <c r="J208" s="627"/>
      <c r="K208" s="627"/>
      <c r="L208" s="628"/>
      <c r="M208" s="22"/>
      <c r="N208" s="22"/>
    </row>
    <row r="209" spans="1:15" ht="20.100000000000001" customHeight="1" thickBot="1" x14ac:dyDescent="0.3">
      <c r="A209" s="269"/>
      <c r="B209" s="629"/>
      <c r="C209" s="630"/>
      <c r="D209" s="630"/>
      <c r="E209" s="630"/>
      <c r="F209" s="630"/>
      <c r="G209" s="630"/>
      <c r="H209" s="630"/>
      <c r="I209" s="630"/>
      <c r="J209" s="630"/>
      <c r="K209" s="630"/>
      <c r="L209" s="631"/>
      <c r="M209" s="22"/>
      <c r="N209" s="22"/>
    </row>
    <row r="210" spans="1:15" ht="20.100000000000001" customHeight="1" x14ac:dyDescent="0.25">
      <c r="A210" s="269"/>
      <c r="B210" s="634" t="s">
        <v>29</v>
      </c>
      <c r="C210" s="154" t="s">
        <v>97</v>
      </c>
      <c r="D210" s="636" t="s">
        <v>101</v>
      </c>
      <c r="E210" s="636"/>
      <c r="F210" s="637"/>
      <c r="G210" s="270" t="s">
        <v>112</v>
      </c>
      <c r="H210" s="154" t="s">
        <v>98</v>
      </c>
      <c r="I210" s="154" t="s">
        <v>96</v>
      </c>
      <c r="J210" s="634" t="s">
        <v>113</v>
      </c>
      <c r="K210" s="634" t="s">
        <v>114</v>
      </c>
      <c r="L210" s="638" t="s">
        <v>115</v>
      </c>
      <c r="M210" s="22"/>
      <c r="N210" s="22"/>
    </row>
    <row r="211" spans="1:15" ht="20.100000000000001" customHeight="1" thickBot="1" x14ac:dyDescent="0.3">
      <c r="A211" s="269"/>
      <c r="B211" s="635"/>
      <c r="C211" s="155" t="s">
        <v>104</v>
      </c>
      <c r="D211" s="157" t="s">
        <v>107</v>
      </c>
      <c r="E211" s="157" t="s">
        <v>107</v>
      </c>
      <c r="F211" s="156" t="s">
        <v>104</v>
      </c>
      <c r="G211" s="187" t="s">
        <v>106</v>
      </c>
      <c r="H211" s="155" t="s">
        <v>105</v>
      </c>
      <c r="I211" s="155" t="s">
        <v>104</v>
      </c>
      <c r="J211" s="635"/>
      <c r="K211" s="635"/>
      <c r="L211" s="639"/>
      <c r="M211" s="22"/>
      <c r="N211" s="22"/>
    </row>
    <row r="212" spans="1:15" ht="20.100000000000001" customHeight="1" x14ac:dyDescent="0.25">
      <c r="A212" s="269"/>
      <c r="B212" s="158" t="s">
        <v>37</v>
      </c>
      <c r="C212" s="169">
        <f>C195</f>
        <v>96.975099999999998</v>
      </c>
      <c r="D212" s="159">
        <f>D195</f>
        <v>1</v>
      </c>
      <c r="E212" s="160">
        <f>E195</f>
        <v>2</v>
      </c>
      <c r="F212" s="188">
        <f>F195</f>
        <v>5.57E-2</v>
      </c>
      <c r="G212" s="200">
        <f>ABS(L195)</f>
        <v>3.0272325079061519E-7</v>
      </c>
      <c r="H212" s="201">
        <f>ABS((G212)/(0.2785*150*(F212^2.63)))^(1/0.54)</f>
        <v>1.0822188762591749E-9</v>
      </c>
      <c r="I212" s="189">
        <f>H212*C212</f>
        <v>1.0494828374712111E-7</v>
      </c>
      <c r="J212" s="200">
        <f>I212/G212</f>
        <v>0.34668061826447144</v>
      </c>
      <c r="K212" s="202">
        <f>(-I223)/(1.85*J223)</f>
        <v>-1.1525335201547343E-6</v>
      </c>
      <c r="L212" s="200">
        <f>G212+$K$212</f>
        <v>-8.4981026936411912E-7</v>
      </c>
      <c r="M212" s="22"/>
      <c r="N212" s="22"/>
    </row>
    <row r="213" spans="1:15" ht="20.100000000000001" customHeight="1" x14ac:dyDescent="0.25">
      <c r="A213" s="269"/>
      <c r="B213" s="161" t="s">
        <v>38</v>
      </c>
      <c r="C213" s="170">
        <f t="shared" ref="C213:F213" si="160">C196</f>
        <v>86.260599999999997</v>
      </c>
      <c r="D213" s="164">
        <f t="shared" si="160"/>
        <v>1</v>
      </c>
      <c r="E213" s="163">
        <f t="shared" si="160"/>
        <v>2</v>
      </c>
      <c r="F213" s="191">
        <f t="shared" si="160"/>
        <v>5.57E-2</v>
      </c>
      <c r="G213" s="193">
        <f t="shared" ref="G213:G222" si="161">ABS(L196)</f>
        <v>2.3028623964077981E-6</v>
      </c>
      <c r="H213" s="203">
        <f t="shared" ref="H213:H222" si="162">ABS((G213)/(0.2785*150*(F213^2.63)))^(1/0.54)</f>
        <v>4.6366902672907646E-8</v>
      </c>
      <c r="I213" s="192">
        <f t="shared" ref="I213:I222" si="163">H213*C213</f>
        <v>3.9996368447066169E-6</v>
      </c>
      <c r="J213" s="193">
        <f t="shared" ref="J213:J222" si="164">I213/G213</f>
        <v>1.7368110447873886</v>
      </c>
      <c r="K213" s="192"/>
      <c r="L213" s="193">
        <f t="shared" ref="L213:L222" si="165">G213+$K$212</f>
        <v>1.1503288762530637E-6</v>
      </c>
      <c r="M213" s="22"/>
      <c r="N213" s="22"/>
    </row>
    <row r="214" spans="1:15" ht="20.100000000000001" customHeight="1" x14ac:dyDescent="0.25">
      <c r="A214" s="269"/>
      <c r="B214" s="161" t="s">
        <v>39</v>
      </c>
      <c r="C214" s="170">
        <f t="shared" ref="C214:F214" si="166">C197</f>
        <v>111.3882</v>
      </c>
      <c r="D214" s="164">
        <f t="shared" si="166"/>
        <v>1</v>
      </c>
      <c r="E214" s="163">
        <f t="shared" si="166"/>
        <v>2</v>
      </c>
      <c r="F214" s="191">
        <f t="shared" si="166"/>
        <v>5.57E-2</v>
      </c>
      <c r="G214" s="193">
        <f t="shared" si="161"/>
        <v>8.4877889673462249E-7</v>
      </c>
      <c r="H214" s="203">
        <f t="shared" si="162"/>
        <v>7.3026340762185567E-9</v>
      </c>
      <c r="I214" s="192">
        <f t="shared" si="163"/>
        <v>8.1342726500864781E-7</v>
      </c>
      <c r="J214" s="193">
        <f t="shared" si="164"/>
        <v>0.95835001098404116</v>
      </c>
      <c r="K214" s="192"/>
      <c r="L214" s="193">
        <f t="shared" si="165"/>
        <v>-3.0375462342011182E-7</v>
      </c>
      <c r="M214" s="22"/>
      <c r="N214" s="22"/>
    </row>
    <row r="215" spans="1:15" ht="20.100000000000001" customHeight="1" x14ac:dyDescent="0.25">
      <c r="A215" s="269"/>
      <c r="B215" s="161" t="s">
        <v>64</v>
      </c>
      <c r="C215" s="170">
        <f t="shared" ref="C215:F215" si="167">C198</f>
        <v>94.485900000000001</v>
      </c>
      <c r="D215" s="164">
        <f t="shared" si="167"/>
        <v>1</v>
      </c>
      <c r="E215" s="163">
        <f t="shared" si="167"/>
        <v>2</v>
      </c>
      <c r="F215" s="191">
        <f t="shared" si="167"/>
        <v>5.57E-2</v>
      </c>
      <c r="G215" s="193">
        <f t="shared" si="161"/>
        <v>3.5110212246010426E-8</v>
      </c>
      <c r="H215" s="203">
        <f t="shared" si="162"/>
        <v>2.0030864386255001E-11</v>
      </c>
      <c r="I215" s="192">
        <f t="shared" si="163"/>
        <v>1.8926342493132515E-9</v>
      </c>
      <c r="J215" s="193">
        <f t="shared" si="164"/>
        <v>5.3905520025112112E-2</v>
      </c>
      <c r="K215" s="192"/>
      <c r="L215" s="193">
        <f t="shared" si="165"/>
        <v>-1.1174233079087239E-6</v>
      </c>
      <c r="M215" s="22"/>
      <c r="N215" s="22"/>
    </row>
    <row r="216" spans="1:15" ht="20.100000000000001" customHeight="1" x14ac:dyDescent="0.25">
      <c r="A216" s="269"/>
      <c r="B216" s="161" t="s">
        <v>65</v>
      </c>
      <c r="C216" s="170">
        <f t="shared" ref="C216:F216" si="168">C199</f>
        <v>75.623900000000006</v>
      </c>
      <c r="D216" s="164">
        <f t="shared" si="168"/>
        <v>1</v>
      </c>
      <c r="E216" s="163">
        <f t="shared" si="168"/>
        <v>2</v>
      </c>
      <c r="F216" s="191">
        <f t="shared" si="168"/>
        <v>5.57E-2</v>
      </c>
      <c r="G216" s="193">
        <f t="shared" si="161"/>
        <v>8.5491514715994381E-7</v>
      </c>
      <c r="H216" s="203">
        <f t="shared" si="162"/>
        <v>7.4007024663131406E-9</v>
      </c>
      <c r="I216" s="192">
        <f t="shared" si="163"/>
        <v>5.5966998324221836E-7</v>
      </c>
      <c r="J216" s="193">
        <f t="shared" si="164"/>
        <v>0.65464974518402252</v>
      </c>
      <c r="K216" s="192"/>
      <c r="L216" s="193">
        <f t="shared" si="165"/>
        <v>-2.976183729947905E-7</v>
      </c>
      <c r="M216" s="22"/>
      <c r="N216" s="22"/>
    </row>
    <row r="217" spans="1:15" ht="20.100000000000001" customHeight="1" x14ac:dyDescent="0.25">
      <c r="A217" s="269"/>
      <c r="B217" s="161" t="s">
        <v>61</v>
      </c>
      <c r="C217" s="170">
        <f t="shared" ref="C217:F217" si="169">C200</f>
        <v>33.049199999999999</v>
      </c>
      <c r="D217" s="164">
        <f t="shared" si="169"/>
        <v>1</v>
      </c>
      <c r="E217" s="163">
        <f t="shared" si="169"/>
        <v>2</v>
      </c>
      <c r="F217" s="191">
        <f t="shared" si="169"/>
        <v>5.57E-2</v>
      </c>
      <c r="G217" s="193">
        <f t="shared" si="161"/>
        <v>9.3135247849567275E-7</v>
      </c>
      <c r="H217" s="203">
        <f t="shared" si="162"/>
        <v>8.6725194577072893E-9</v>
      </c>
      <c r="I217" s="192">
        <f t="shared" si="163"/>
        <v>2.8661983006165974E-7</v>
      </c>
      <c r="J217" s="193">
        <f t="shared" si="164"/>
        <v>0.30774581770009368</v>
      </c>
      <c r="K217" s="192"/>
      <c r="L217" s="193">
        <f t="shared" si="165"/>
        <v>-2.2118104165906156E-7</v>
      </c>
      <c r="M217" s="22"/>
      <c r="N217" s="22"/>
    </row>
    <row r="218" spans="1:15" ht="20.100000000000001" customHeight="1" x14ac:dyDescent="0.25">
      <c r="A218" s="269"/>
      <c r="B218" s="161" t="s">
        <v>143</v>
      </c>
      <c r="C218" s="170">
        <f t="shared" ref="C218:F218" si="170">C201</f>
        <v>26.0762</v>
      </c>
      <c r="D218" s="164">
        <f t="shared" si="170"/>
        <v>1</v>
      </c>
      <c r="E218" s="163">
        <f t="shared" si="170"/>
        <v>2</v>
      </c>
      <c r="F218" s="191">
        <f t="shared" si="170"/>
        <v>5.57E-2</v>
      </c>
      <c r="G218" s="193">
        <f t="shared" si="161"/>
        <v>9.0134384693699586E-7</v>
      </c>
      <c r="H218" s="203">
        <f t="shared" si="162"/>
        <v>8.1621641903851834E-9</v>
      </c>
      <c r="I218" s="192">
        <f t="shared" si="163"/>
        <v>2.1283822586132211E-7</v>
      </c>
      <c r="J218" s="193">
        <f t="shared" si="164"/>
        <v>0.23613433051615379</v>
      </c>
      <c r="K218" s="192"/>
      <c r="L218" s="193">
        <f t="shared" si="165"/>
        <v>-2.5118967321773844E-7</v>
      </c>
      <c r="M218" s="22"/>
      <c r="N218" s="22"/>
    </row>
    <row r="219" spans="1:15" ht="20.100000000000001" customHeight="1" x14ac:dyDescent="0.25">
      <c r="A219" s="269"/>
      <c r="B219" s="161" t="s">
        <v>141</v>
      </c>
      <c r="C219" s="170">
        <f t="shared" ref="C219:F219" si="171">C202</f>
        <v>17.547599999999999</v>
      </c>
      <c r="D219" s="164">
        <f t="shared" si="171"/>
        <v>1</v>
      </c>
      <c r="E219" s="163">
        <f t="shared" si="171"/>
        <v>2</v>
      </c>
      <c r="F219" s="191">
        <f t="shared" si="171"/>
        <v>5.57E-2</v>
      </c>
      <c r="G219" s="193">
        <f t="shared" si="161"/>
        <v>5.4814012530065746E-6</v>
      </c>
      <c r="H219" s="203">
        <f t="shared" si="162"/>
        <v>2.3102512239740548E-7</v>
      </c>
      <c r="I219" s="192">
        <f t="shared" si="163"/>
        <v>4.0539364377807122E-6</v>
      </c>
      <c r="J219" s="193">
        <f t="shared" si="164"/>
        <v>0.73958030997221902</v>
      </c>
      <c r="K219" s="192"/>
      <c r="L219" s="193">
        <f t="shared" si="165"/>
        <v>4.3288677328518403E-6</v>
      </c>
      <c r="M219" s="22"/>
      <c r="N219" s="22"/>
    </row>
    <row r="220" spans="1:15" ht="20.100000000000001" customHeight="1" x14ac:dyDescent="0.25">
      <c r="A220" s="269"/>
      <c r="B220" s="161" t="s">
        <v>85</v>
      </c>
      <c r="C220" s="170">
        <f t="shared" ref="C220:F220" si="172">C203</f>
        <v>95.631299999999982</v>
      </c>
      <c r="D220" s="164">
        <f t="shared" si="172"/>
        <v>1</v>
      </c>
      <c r="E220" s="163">
        <f t="shared" si="172"/>
        <v>2</v>
      </c>
      <c r="F220" s="191">
        <f t="shared" si="172"/>
        <v>5.57E-2</v>
      </c>
      <c r="G220" s="193">
        <f t="shared" si="161"/>
        <v>2.4623935002208097E-6</v>
      </c>
      <c r="H220" s="203">
        <f t="shared" si="162"/>
        <v>5.2490108541541658E-8</v>
      </c>
      <c r="I220" s="192">
        <f t="shared" si="163"/>
        <v>5.0196973169687317E-6</v>
      </c>
      <c r="J220" s="193">
        <f t="shared" si="164"/>
        <v>2.0385439274911183</v>
      </c>
      <c r="K220" s="192"/>
      <c r="L220" s="193">
        <f t="shared" si="165"/>
        <v>1.3098599800660754E-6</v>
      </c>
      <c r="M220" s="22"/>
      <c r="N220" s="22"/>
      <c r="O220" s="145"/>
    </row>
    <row r="221" spans="1:15" ht="20.100000000000001" customHeight="1" x14ac:dyDescent="0.25">
      <c r="A221" s="269"/>
      <c r="B221" s="161" t="s">
        <v>86</v>
      </c>
      <c r="C221" s="170">
        <f t="shared" ref="C221:F221" si="173">C204</f>
        <v>4.4747000000000003</v>
      </c>
      <c r="D221" s="164">
        <f t="shared" si="173"/>
        <v>1</v>
      </c>
      <c r="E221" s="163">
        <f t="shared" si="173"/>
        <v>2</v>
      </c>
      <c r="F221" s="191">
        <f t="shared" si="173"/>
        <v>5.57E-2</v>
      </c>
      <c r="G221" s="193">
        <f t="shared" si="161"/>
        <v>1.7520020247339857E-6</v>
      </c>
      <c r="H221" s="203">
        <f t="shared" si="162"/>
        <v>2.7946758877831586E-8</v>
      </c>
      <c r="I221" s="192">
        <f t="shared" si="163"/>
        <v>1.2505336195063301E-7</v>
      </c>
      <c r="J221" s="193">
        <f t="shared" si="164"/>
        <v>7.137740720911577E-2</v>
      </c>
      <c r="K221" s="192"/>
      <c r="L221" s="193">
        <f t="shared" si="165"/>
        <v>5.9946850457925135E-7</v>
      </c>
      <c r="M221" s="22"/>
      <c r="N221" s="22"/>
    </row>
    <row r="222" spans="1:15" ht="20.100000000000001" customHeight="1" thickBot="1" x14ac:dyDescent="0.3">
      <c r="A222" s="269"/>
      <c r="B222" s="206" t="s">
        <v>142</v>
      </c>
      <c r="C222" s="194">
        <f t="shared" ref="C222:F222" si="174">C205</f>
        <v>44.459099999999999</v>
      </c>
      <c r="D222" s="174">
        <f t="shared" si="174"/>
        <v>1</v>
      </c>
      <c r="E222" s="165">
        <f t="shared" si="174"/>
        <v>2</v>
      </c>
      <c r="F222" s="195">
        <f t="shared" si="174"/>
        <v>5.57E-2</v>
      </c>
      <c r="G222" s="197">
        <f t="shared" si="161"/>
        <v>2.1951996267745005E-6</v>
      </c>
      <c r="H222" s="298">
        <f t="shared" si="162"/>
        <v>4.2432706912024223E-8</v>
      </c>
      <c r="I222" s="295">
        <f t="shared" si="163"/>
        <v>1.8865199598723761E-6</v>
      </c>
      <c r="J222" s="296">
        <f t="shared" si="164"/>
        <v>0.85938423861902691</v>
      </c>
      <c r="K222" s="196"/>
      <c r="L222" s="197">
        <f t="shared" si="165"/>
        <v>1.0426661066197662E-6</v>
      </c>
      <c r="M222" s="22"/>
      <c r="N222" s="22"/>
    </row>
    <row r="223" spans="1:15" ht="45" customHeight="1" thickBot="1" x14ac:dyDescent="0.3">
      <c r="A223" s="269"/>
      <c r="B223" s="623" t="s">
        <v>55</v>
      </c>
      <c r="C223" s="624"/>
      <c r="D223" s="624"/>
      <c r="E223" s="624"/>
      <c r="F223" s="624"/>
      <c r="G223" s="624"/>
      <c r="H223" s="625"/>
      <c r="I223" s="297">
        <f>SUM(I212:I222)</f>
        <v>1.7064240143449351E-5</v>
      </c>
      <c r="J223" s="297">
        <f>SUM(J212:J222)</f>
        <v>8.0031629707527632</v>
      </c>
      <c r="K223" s="198"/>
      <c r="L223" s="267"/>
      <c r="M223" s="22"/>
      <c r="N223" s="22"/>
    </row>
    <row r="224" spans="1:15" ht="30" customHeight="1" thickBot="1" x14ac:dyDescent="0.3">
      <c r="A224" s="269"/>
      <c r="B224" s="199"/>
      <c r="C224" s="199"/>
      <c r="D224" s="199"/>
      <c r="E224" s="199"/>
      <c r="F224" s="199"/>
      <c r="G224" s="199"/>
      <c r="H224" s="199"/>
      <c r="I224" s="33"/>
      <c r="J224" s="33"/>
      <c r="K224" s="198"/>
      <c r="L224" s="267"/>
      <c r="M224" s="22"/>
      <c r="N224" s="22"/>
    </row>
    <row r="225" spans="1:14" ht="20.100000000000001" customHeight="1" x14ac:dyDescent="0.25">
      <c r="A225" s="269"/>
      <c r="B225" s="626" t="s">
        <v>111</v>
      </c>
      <c r="C225" s="627"/>
      <c r="D225" s="627"/>
      <c r="E225" s="627"/>
      <c r="F225" s="627"/>
      <c r="G225" s="627"/>
      <c r="H225" s="627"/>
      <c r="I225" s="627"/>
      <c r="J225" s="627"/>
      <c r="K225" s="627"/>
      <c r="L225" s="628"/>
      <c r="M225" s="22"/>
      <c r="N225" s="22"/>
    </row>
    <row r="226" spans="1:14" ht="20.100000000000001" customHeight="1" thickBot="1" x14ac:dyDescent="0.3">
      <c r="A226" s="269"/>
      <c r="B226" s="629"/>
      <c r="C226" s="630"/>
      <c r="D226" s="630"/>
      <c r="E226" s="630"/>
      <c r="F226" s="630"/>
      <c r="G226" s="630"/>
      <c r="H226" s="630"/>
      <c r="I226" s="630"/>
      <c r="J226" s="630"/>
      <c r="K226" s="630"/>
      <c r="L226" s="631"/>
      <c r="M226" s="22"/>
      <c r="N226" s="22"/>
    </row>
    <row r="227" spans="1:14" ht="20.100000000000001" customHeight="1" x14ac:dyDescent="0.25">
      <c r="A227" s="269"/>
      <c r="B227" s="634" t="s">
        <v>29</v>
      </c>
      <c r="C227" s="154" t="s">
        <v>97</v>
      </c>
      <c r="D227" s="636" t="s">
        <v>101</v>
      </c>
      <c r="E227" s="636"/>
      <c r="F227" s="637"/>
      <c r="G227" s="270" t="s">
        <v>112</v>
      </c>
      <c r="H227" s="154" t="s">
        <v>98</v>
      </c>
      <c r="I227" s="154" t="s">
        <v>96</v>
      </c>
      <c r="J227" s="634" t="s">
        <v>113</v>
      </c>
      <c r="K227" s="634" t="s">
        <v>114</v>
      </c>
      <c r="L227" s="638" t="s">
        <v>115</v>
      </c>
      <c r="M227" s="22"/>
      <c r="N227" s="22"/>
    </row>
    <row r="228" spans="1:14" ht="20.100000000000001" customHeight="1" thickBot="1" x14ac:dyDescent="0.3">
      <c r="A228" s="269"/>
      <c r="B228" s="635"/>
      <c r="C228" s="155" t="s">
        <v>104</v>
      </c>
      <c r="D228" s="157" t="s">
        <v>107</v>
      </c>
      <c r="E228" s="157" t="s">
        <v>107</v>
      </c>
      <c r="F228" s="156" t="s">
        <v>104</v>
      </c>
      <c r="G228" s="187" t="s">
        <v>106</v>
      </c>
      <c r="H228" s="155" t="s">
        <v>105</v>
      </c>
      <c r="I228" s="155" t="s">
        <v>104</v>
      </c>
      <c r="J228" s="635"/>
      <c r="K228" s="635"/>
      <c r="L228" s="639"/>
      <c r="M228" s="22"/>
      <c r="N228" s="22"/>
    </row>
    <row r="229" spans="1:14" ht="20.100000000000001" customHeight="1" x14ac:dyDescent="0.25">
      <c r="A229" s="269"/>
      <c r="B229" s="158" t="s">
        <v>37</v>
      </c>
      <c r="C229" s="169">
        <f>C212</f>
        <v>96.975099999999998</v>
      </c>
      <c r="D229" s="159">
        <f>D212</f>
        <v>1</v>
      </c>
      <c r="E229" s="160">
        <f>E212</f>
        <v>2</v>
      </c>
      <c r="F229" s="188">
        <f>F212</f>
        <v>5.57E-2</v>
      </c>
      <c r="G229" s="200">
        <f>ABS(L212)</f>
        <v>8.4981026936411912E-7</v>
      </c>
      <c r="H229" s="201">
        <f>ABS((G229)/(0.2785*150*(F229^2.63)))^(1/0.54)</f>
        <v>7.3190752003115278E-9</v>
      </c>
      <c r="I229" s="189">
        <f>H229*C229</f>
        <v>7.0976804945773046E-7</v>
      </c>
      <c r="J229" s="200">
        <f>I229/G229</f>
        <v>0.83520766345742448</v>
      </c>
      <c r="K229" s="202">
        <f>(-I240)/(1.85*J240)</f>
        <v>-7.1662626483491596E-7</v>
      </c>
      <c r="L229" s="200">
        <f>G229+$K$229</f>
        <v>1.3318400452920315E-7</v>
      </c>
      <c r="M229" s="22"/>
      <c r="N229" s="22"/>
    </row>
    <row r="230" spans="1:14" ht="20.100000000000001" customHeight="1" x14ac:dyDescent="0.25">
      <c r="A230" s="269"/>
      <c r="B230" s="161" t="s">
        <v>38</v>
      </c>
      <c r="C230" s="170">
        <f t="shared" ref="C230:F230" si="175">C213</f>
        <v>86.260599999999997</v>
      </c>
      <c r="D230" s="164">
        <f t="shared" si="175"/>
        <v>1</v>
      </c>
      <c r="E230" s="163">
        <f t="shared" si="175"/>
        <v>2</v>
      </c>
      <c r="F230" s="191">
        <f t="shared" si="175"/>
        <v>5.57E-2</v>
      </c>
      <c r="G230" s="193">
        <f t="shared" ref="G230:G239" si="176">ABS(L213)</f>
        <v>1.1503288762530637E-6</v>
      </c>
      <c r="H230" s="203">
        <f t="shared" ref="H230:H239" si="177">ABS((G230)/(0.2785*150*(F230^2.63)))^(1/0.54)</f>
        <v>1.2822562210252334E-8</v>
      </c>
      <c r="I230" s="192">
        <f t="shared" ref="I230:I239" si="178">H230*C230</f>
        <v>1.1060819097936925E-6</v>
      </c>
      <c r="J230" s="193">
        <f t="shared" ref="J230:J239" si="179">I230/G230</f>
        <v>0.96153537707973069</v>
      </c>
      <c r="K230" s="192"/>
      <c r="L230" s="193">
        <f t="shared" ref="L230:L239" si="180">G230+$K$229</f>
        <v>4.3370261141814779E-7</v>
      </c>
      <c r="M230" s="22"/>
      <c r="N230" s="22"/>
    </row>
    <row r="231" spans="1:14" ht="20.100000000000001" customHeight="1" x14ac:dyDescent="0.25">
      <c r="A231" s="269"/>
      <c r="B231" s="161" t="s">
        <v>39</v>
      </c>
      <c r="C231" s="170">
        <f t="shared" ref="C231:F231" si="181">C214</f>
        <v>111.3882</v>
      </c>
      <c r="D231" s="164">
        <f t="shared" si="181"/>
        <v>1</v>
      </c>
      <c r="E231" s="163">
        <f t="shared" si="181"/>
        <v>2</v>
      </c>
      <c r="F231" s="191">
        <f t="shared" si="181"/>
        <v>5.57E-2</v>
      </c>
      <c r="G231" s="193">
        <f t="shared" si="176"/>
        <v>3.0375462342011182E-7</v>
      </c>
      <c r="H231" s="203">
        <f t="shared" si="177"/>
        <v>1.0890567459478574E-9</v>
      </c>
      <c r="I231" s="192">
        <f t="shared" si="178"/>
        <v>1.2130807062898912E-7</v>
      </c>
      <c r="J231" s="193">
        <f t="shared" si="179"/>
        <v>0.39936205501376815</v>
      </c>
      <c r="K231" s="192"/>
      <c r="L231" s="193">
        <f t="shared" si="180"/>
        <v>-4.1287164141480415E-7</v>
      </c>
      <c r="M231" s="22"/>
      <c r="N231" s="22"/>
    </row>
    <row r="232" spans="1:14" ht="20.100000000000001" customHeight="1" x14ac:dyDescent="0.25">
      <c r="A232" s="269"/>
      <c r="B232" s="161" t="s">
        <v>64</v>
      </c>
      <c r="C232" s="170">
        <f t="shared" ref="C232:F232" si="182">C215</f>
        <v>94.485900000000001</v>
      </c>
      <c r="D232" s="164">
        <f t="shared" si="182"/>
        <v>1</v>
      </c>
      <c r="E232" s="163">
        <f t="shared" si="182"/>
        <v>2</v>
      </c>
      <c r="F232" s="191">
        <f t="shared" si="182"/>
        <v>5.57E-2</v>
      </c>
      <c r="G232" s="193">
        <f t="shared" si="176"/>
        <v>1.1174233079087239E-6</v>
      </c>
      <c r="H232" s="203">
        <f t="shared" si="177"/>
        <v>1.2151601700343069E-8</v>
      </c>
      <c r="I232" s="192">
        <f t="shared" si="178"/>
        <v>1.1481550230984452E-6</v>
      </c>
      <c r="J232" s="193">
        <f t="shared" si="179"/>
        <v>1.0275023037126694</v>
      </c>
      <c r="K232" s="192"/>
      <c r="L232" s="193">
        <f t="shared" si="180"/>
        <v>4.0079704307380792E-7</v>
      </c>
      <c r="M232" s="22"/>
      <c r="N232" s="22"/>
    </row>
    <row r="233" spans="1:14" ht="20.100000000000001" customHeight="1" x14ac:dyDescent="0.25">
      <c r="A233" s="269"/>
      <c r="B233" s="161" t="s">
        <v>65</v>
      </c>
      <c r="C233" s="170">
        <f t="shared" ref="C233:F233" si="183">C216</f>
        <v>75.623900000000006</v>
      </c>
      <c r="D233" s="164">
        <f t="shared" si="183"/>
        <v>1</v>
      </c>
      <c r="E233" s="163">
        <f t="shared" si="183"/>
        <v>2</v>
      </c>
      <c r="F233" s="191">
        <f t="shared" si="183"/>
        <v>5.57E-2</v>
      </c>
      <c r="G233" s="193">
        <f t="shared" si="176"/>
        <v>2.976183729947905E-7</v>
      </c>
      <c r="H233" s="203">
        <f t="shared" si="177"/>
        <v>1.0486661568129073E-9</v>
      </c>
      <c r="I233" s="192">
        <f t="shared" si="178"/>
        <v>7.9304224576203624E-8</v>
      </c>
      <c r="J233" s="193">
        <f t="shared" si="179"/>
        <v>0.26646279857726313</v>
      </c>
      <c r="K233" s="192"/>
      <c r="L233" s="193">
        <f t="shared" si="180"/>
        <v>-4.1900789184012546E-7</v>
      </c>
      <c r="M233" s="22"/>
      <c r="N233" s="22"/>
    </row>
    <row r="234" spans="1:14" ht="20.100000000000001" customHeight="1" x14ac:dyDescent="0.25">
      <c r="A234" s="269"/>
      <c r="B234" s="161" t="s">
        <v>61</v>
      </c>
      <c r="C234" s="170">
        <f t="shared" ref="C234:F234" si="184">C217</f>
        <v>33.049199999999999</v>
      </c>
      <c r="D234" s="164">
        <f t="shared" si="184"/>
        <v>1</v>
      </c>
      <c r="E234" s="163">
        <f t="shared" si="184"/>
        <v>2</v>
      </c>
      <c r="F234" s="191">
        <f t="shared" si="184"/>
        <v>5.57E-2</v>
      </c>
      <c r="G234" s="193">
        <f t="shared" si="176"/>
        <v>2.2118104165906156E-7</v>
      </c>
      <c r="H234" s="203">
        <f t="shared" si="177"/>
        <v>6.0521770506914125E-10</v>
      </c>
      <c r="I234" s="192">
        <f t="shared" si="178"/>
        <v>2.0001960978371064E-8</v>
      </c>
      <c r="J234" s="193">
        <f t="shared" si="179"/>
        <v>9.043252906459763E-2</v>
      </c>
      <c r="K234" s="192"/>
      <c r="L234" s="193">
        <f t="shared" si="180"/>
        <v>-4.954452231758544E-7</v>
      </c>
      <c r="M234" s="22"/>
      <c r="N234" s="22"/>
    </row>
    <row r="235" spans="1:14" ht="20.100000000000001" customHeight="1" x14ac:dyDescent="0.25">
      <c r="A235" s="269"/>
      <c r="B235" s="161" t="s">
        <v>143</v>
      </c>
      <c r="C235" s="170">
        <f t="shared" ref="C235:F235" si="185">C218</f>
        <v>26.0762</v>
      </c>
      <c r="D235" s="164">
        <f t="shared" si="185"/>
        <v>1</v>
      </c>
      <c r="E235" s="163">
        <f t="shared" si="185"/>
        <v>2</v>
      </c>
      <c r="F235" s="191">
        <f t="shared" si="185"/>
        <v>5.57E-2</v>
      </c>
      <c r="G235" s="193">
        <f t="shared" si="176"/>
        <v>2.5118967321773844E-7</v>
      </c>
      <c r="H235" s="203">
        <f t="shared" si="177"/>
        <v>7.6600856896260381E-10</v>
      </c>
      <c r="I235" s="192">
        <f t="shared" si="178"/>
        <v>1.997459264598265E-8</v>
      </c>
      <c r="J235" s="193">
        <f t="shared" si="179"/>
        <v>7.9519959519466776E-2</v>
      </c>
      <c r="K235" s="192"/>
      <c r="L235" s="193">
        <f t="shared" si="180"/>
        <v>-4.6543659161717752E-7</v>
      </c>
      <c r="M235" s="22"/>
      <c r="N235" s="22"/>
    </row>
    <row r="236" spans="1:14" ht="20.100000000000001" customHeight="1" x14ac:dyDescent="0.25">
      <c r="A236" s="269"/>
      <c r="B236" s="161" t="s">
        <v>141</v>
      </c>
      <c r="C236" s="170">
        <f t="shared" ref="C236:F236" si="186">C219</f>
        <v>17.547599999999999</v>
      </c>
      <c r="D236" s="164">
        <f t="shared" si="186"/>
        <v>1</v>
      </c>
      <c r="E236" s="163">
        <f t="shared" si="186"/>
        <v>2</v>
      </c>
      <c r="F236" s="191">
        <f t="shared" si="186"/>
        <v>5.57E-2</v>
      </c>
      <c r="G236" s="193">
        <f t="shared" si="176"/>
        <v>4.3288677328518403E-6</v>
      </c>
      <c r="H236" s="203">
        <f t="shared" si="177"/>
        <v>1.492149703875185E-7</v>
      </c>
      <c r="I236" s="192">
        <f t="shared" si="178"/>
        <v>2.6183646143720194E-6</v>
      </c>
      <c r="J236" s="193">
        <f t="shared" si="179"/>
        <v>0.60486131153909184</v>
      </c>
      <c r="K236" s="192"/>
      <c r="L236" s="193">
        <f t="shared" si="180"/>
        <v>3.6122414680169245E-6</v>
      </c>
      <c r="M236" s="22"/>
      <c r="N236" s="22"/>
    </row>
    <row r="237" spans="1:14" ht="20.100000000000001" customHeight="1" x14ac:dyDescent="0.25">
      <c r="A237" s="269"/>
      <c r="B237" s="161" t="s">
        <v>85</v>
      </c>
      <c r="C237" s="170">
        <f t="shared" ref="C237:F237" si="187">C220</f>
        <v>95.631299999999982</v>
      </c>
      <c r="D237" s="164">
        <f t="shared" si="187"/>
        <v>1</v>
      </c>
      <c r="E237" s="163">
        <f t="shared" si="187"/>
        <v>2</v>
      </c>
      <c r="F237" s="191">
        <f t="shared" si="187"/>
        <v>5.57E-2</v>
      </c>
      <c r="G237" s="193">
        <f t="shared" si="176"/>
        <v>1.3098599800660754E-6</v>
      </c>
      <c r="H237" s="203">
        <f t="shared" si="177"/>
        <v>1.6308895121513749E-8</v>
      </c>
      <c r="I237" s="192">
        <f t="shared" si="178"/>
        <v>1.5596408420340175E-6</v>
      </c>
      <c r="J237" s="193">
        <f t="shared" si="179"/>
        <v>1.1906927960004869</v>
      </c>
      <c r="K237" s="192"/>
      <c r="L237" s="193">
        <f t="shared" si="180"/>
        <v>5.9323371523115942E-7</v>
      </c>
      <c r="M237" s="22"/>
      <c r="N237" s="22"/>
    </row>
    <row r="238" spans="1:14" ht="20.100000000000001" customHeight="1" x14ac:dyDescent="0.25">
      <c r="A238" s="269"/>
      <c r="B238" s="161" t="s">
        <v>86</v>
      </c>
      <c r="C238" s="170">
        <f t="shared" ref="C238:F238" si="188">C221</f>
        <v>4.4747000000000003</v>
      </c>
      <c r="D238" s="164">
        <f t="shared" si="188"/>
        <v>1</v>
      </c>
      <c r="E238" s="163">
        <f t="shared" si="188"/>
        <v>2</v>
      </c>
      <c r="F238" s="191">
        <f t="shared" si="188"/>
        <v>5.57E-2</v>
      </c>
      <c r="G238" s="193">
        <f t="shared" si="176"/>
        <v>5.9946850457925135E-7</v>
      </c>
      <c r="H238" s="203">
        <f t="shared" si="177"/>
        <v>3.8352853626607628E-9</v>
      </c>
      <c r="I238" s="192">
        <f t="shared" si="178"/>
        <v>1.7161751412298116E-8</v>
      </c>
      <c r="J238" s="193">
        <f t="shared" si="179"/>
        <v>2.8628278685538994E-2</v>
      </c>
      <c r="K238" s="192"/>
      <c r="L238" s="193">
        <f t="shared" si="180"/>
        <v>-1.1715776025566461E-7</v>
      </c>
      <c r="M238" s="22"/>
      <c r="N238" s="22"/>
    </row>
    <row r="239" spans="1:14" ht="20.100000000000001" customHeight="1" thickBot="1" x14ac:dyDescent="0.3">
      <c r="A239" s="269"/>
      <c r="B239" s="206" t="s">
        <v>142</v>
      </c>
      <c r="C239" s="194">
        <f t="shared" ref="C239:F239" si="189">C222</f>
        <v>44.459099999999999</v>
      </c>
      <c r="D239" s="174">
        <f t="shared" si="189"/>
        <v>1</v>
      </c>
      <c r="E239" s="165">
        <f t="shared" si="189"/>
        <v>2</v>
      </c>
      <c r="F239" s="195">
        <f t="shared" si="189"/>
        <v>5.57E-2</v>
      </c>
      <c r="G239" s="197">
        <f t="shared" si="176"/>
        <v>1.0426661066197662E-6</v>
      </c>
      <c r="H239" s="298">
        <f t="shared" si="177"/>
        <v>1.0689164671683058E-8</v>
      </c>
      <c r="I239" s="295">
        <f t="shared" si="178"/>
        <v>4.7523064105482426E-7</v>
      </c>
      <c r="J239" s="296">
        <f t="shared" si="179"/>
        <v>0.45578410771927852</v>
      </c>
      <c r="K239" s="196"/>
      <c r="L239" s="197">
        <f t="shared" si="180"/>
        <v>3.2603984178485028E-7</v>
      </c>
      <c r="M239" s="22"/>
      <c r="N239" s="22"/>
    </row>
    <row r="240" spans="1:14" ht="45" customHeight="1" thickBot="1" x14ac:dyDescent="0.3">
      <c r="A240" s="269"/>
      <c r="B240" s="623" t="s">
        <v>55</v>
      </c>
      <c r="C240" s="624"/>
      <c r="D240" s="624"/>
      <c r="E240" s="624"/>
      <c r="F240" s="624"/>
      <c r="G240" s="624"/>
      <c r="H240" s="625"/>
      <c r="I240" s="297">
        <f>SUM(I229:I239)</f>
        <v>7.8749916800525739E-6</v>
      </c>
      <c r="J240" s="297">
        <f>SUM(J229:J239)</f>
        <v>5.9399891803693166</v>
      </c>
      <c r="K240" s="198"/>
      <c r="L240" s="267"/>
      <c r="M240" s="22"/>
      <c r="N240" s="22"/>
    </row>
    <row r="241" spans="1:15" ht="30" customHeight="1" thickBot="1" x14ac:dyDescent="0.3">
      <c r="A241" s="269"/>
      <c r="B241" s="199"/>
      <c r="C241" s="199"/>
      <c r="D241" s="199"/>
      <c r="E241" s="199"/>
      <c r="F241" s="199"/>
      <c r="G241" s="199"/>
      <c r="H241" s="199"/>
      <c r="I241" s="33"/>
      <c r="J241" s="33"/>
      <c r="K241" s="198"/>
      <c r="L241" s="267"/>
      <c r="M241" s="22"/>
      <c r="N241" s="22"/>
    </row>
    <row r="242" spans="1:15" ht="20.100000000000001" customHeight="1" x14ac:dyDescent="0.25">
      <c r="A242" s="269"/>
      <c r="B242" s="626" t="s">
        <v>111</v>
      </c>
      <c r="C242" s="627"/>
      <c r="D242" s="627"/>
      <c r="E242" s="627"/>
      <c r="F242" s="627"/>
      <c r="G242" s="627"/>
      <c r="H242" s="627"/>
      <c r="I242" s="627"/>
      <c r="J242" s="627"/>
      <c r="K242" s="627"/>
      <c r="L242" s="628"/>
      <c r="M242" s="22"/>
      <c r="N242" s="22"/>
    </row>
    <row r="243" spans="1:15" ht="20.100000000000001" customHeight="1" thickBot="1" x14ac:dyDescent="0.3">
      <c r="A243" s="269"/>
      <c r="B243" s="629"/>
      <c r="C243" s="630"/>
      <c r="D243" s="630"/>
      <c r="E243" s="630"/>
      <c r="F243" s="630"/>
      <c r="G243" s="630"/>
      <c r="H243" s="630"/>
      <c r="I243" s="630"/>
      <c r="J243" s="630"/>
      <c r="K243" s="630"/>
      <c r="L243" s="631"/>
      <c r="M243" s="22"/>
      <c r="N243" s="22"/>
    </row>
    <row r="244" spans="1:15" ht="20.100000000000001" customHeight="1" x14ac:dyDescent="0.25">
      <c r="A244" s="269"/>
      <c r="B244" s="632" t="s">
        <v>29</v>
      </c>
      <c r="C244" s="372" t="s">
        <v>97</v>
      </c>
      <c r="D244" s="620" t="s">
        <v>101</v>
      </c>
      <c r="E244" s="620"/>
      <c r="F244" s="622"/>
      <c r="G244" s="478" t="s">
        <v>112</v>
      </c>
      <c r="H244" s="372" t="s">
        <v>98</v>
      </c>
      <c r="I244" s="372" t="s">
        <v>96</v>
      </c>
      <c r="J244" s="632" t="s">
        <v>113</v>
      </c>
      <c r="K244" s="632" t="s">
        <v>114</v>
      </c>
      <c r="L244" s="641" t="s">
        <v>115</v>
      </c>
      <c r="M244" s="22"/>
      <c r="N244" s="22"/>
    </row>
    <row r="245" spans="1:15" ht="20.100000000000001" customHeight="1" thickBot="1" x14ac:dyDescent="0.3">
      <c r="A245" s="269"/>
      <c r="B245" s="633"/>
      <c r="C245" s="374" t="s">
        <v>104</v>
      </c>
      <c r="D245" s="506" t="s">
        <v>107</v>
      </c>
      <c r="E245" s="506" t="s">
        <v>107</v>
      </c>
      <c r="F245" s="376" t="s">
        <v>104</v>
      </c>
      <c r="G245" s="437" t="s">
        <v>106</v>
      </c>
      <c r="H245" s="374" t="s">
        <v>105</v>
      </c>
      <c r="I245" s="374" t="s">
        <v>104</v>
      </c>
      <c r="J245" s="633"/>
      <c r="K245" s="633"/>
      <c r="L245" s="642"/>
      <c r="M245" s="22"/>
      <c r="N245" s="22"/>
      <c r="O245" s="145"/>
    </row>
    <row r="246" spans="1:15" ht="20.100000000000001" customHeight="1" x14ac:dyDescent="0.25">
      <c r="A246" s="269"/>
      <c r="B246" s="158" t="s">
        <v>37</v>
      </c>
      <c r="C246" s="169">
        <f>C229</f>
        <v>96.975099999999998</v>
      </c>
      <c r="D246" s="159">
        <f>D229</f>
        <v>1</v>
      </c>
      <c r="E246" s="160">
        <f>E229</f>
        <v>2</v>
      </c>
      <c r="F246" s="188">
        <f>F229</f>
        <v>5.57E-2</v>
      </c>
      <c r="G246" s="200">
        <f>ABS(L229)</f>
        <v>1.3318400452920315E-7</v>
      </c>
      <c r="H246" s="201">
        <f>ABS((G246)/(0.2785*150*(F246^2.63)))^(1/0.54)</f>
        <v>2.3656820984622989E-10</v>
      </c>
      <c r="I246" s="189">
        <f>H246*C246</f>
        <v>2.2941225806659127E-8</v>
      </c>
      <c r="J246" s="200">
        <f>I246/G246</f>
        <v>0.17225211006197685</v>
      </c>
      <c r="K246" s="507">
        <f>(-I257)/(1.85*J257)</f>
        <v>-4.8963344142206234E-7</v>
      </c>
      <c r="L246" s="200">
        <f>G246+$K$229</f>
        <v>-5.8344226030571281E-7</v>
      </c>
      <c r="M246" s="22"/>
      <c r="N246" s="22"/>
    </row>
    <row r="247" spans="1:15" ht="20.100000000000001" customHeight="1" x14ac:dyDescent="0.25">
      <c r="A247" s="269"/>
      <c r="B247" s="161" t="s">
        <v>38</v>
      </c>
      <c r="C247" s="170">
        <f t="shared" ref="C247:F247" si="190">C230</f>
        <v>86.260599999999997</v>
      </c>
      <c r="D247" s="164">
        <f t="shared" si="190"/>
        <v>1</v>
      </c>
      <c r="E247" s="163">
        <f t="shared" si="190"/>
        <v>2</v>
      </c>
      <c r="F247" s="191">
        <f t="shared" si="190"/>
        <v>5.57E-2</v>
      </c>
      <c r="G247" s="193">
        <f t="shared" ref="G247:G256" si="191">ABS(L230)</f>
        <v>4.3370261141814779E-7</v>
      </c>
      <c r="H247" s="203">
        <f t="shared" ref="H247:H256" si="192">ABS((G247)/(0.2785*150*(F247^2.63)))^(1/0.54)</f>
        <v>2.1060798988082282E-9</v>
      </c>
      <c r="I247" s="192">
        <f t="shared" ref="I247:I256" si="193">H247*C247</f>
        <v>1.8167171571913705E-7</v>
      </c>
      <c r="J247" s="193">
        <f t="shared" ref="J247:J256" si="194">I247/G247</f>
        <v>0.41888545500128666</v>
      </c>
      <c r="K247" s="192"/>
      <c r="L247" s="193">
        <f t="shared" ref="L247:L256" si="195">G247+$K$229</f>
        <v>-2.8292365341676817E-7</v>
      </c>
      <c r="M247" s="22"/>
      <c r="N247" s="22"/>
    </row>
    <row r="248" spans="1:15" ht="20.100000000000001" customHeight="1" x14ac:dyDescent="0.25">
      <c r="A248" s="269"/>
      <c r="B248" s="161" t="s">
        <v>39</v>
      </c>
      <c r="C248" s="170">
        <f t="shared" ref="C248:F248" si="196">C231</f>
        <v>111.3882</v>
      </c>
      <c r="D248" s="164">
        <f t="shared" si="196"/>
        <v>1</v>
      </c>
      <c r="E248" s="163">
        <f t="shared" si="196"/>
        <v>2</v>
      </c>
      <c r="F248" s="191">
        <f t="shared" si="196"/>
        <v>5.57E-2</v>
      </c>
      <c r="G248" s="193">
        <f t="shared" si="191"/>
        <v>4.1287164141480415E-7</v>
      </c>
      <c r="H248" s="203">
        <f t="shared" si="192"/>
        <v>1.9225951261058562E-9</v>
      </c>
      <c r="I248" s="192">
        <f t="shared" si="193"/>
        <v>2.1415441042570431E-7</v>
      </c>
      <c r="J248" s="193">
        <f t="shared" si="194"/>
        <v>0.51869488951058162</v>
      </c>
      <c r="K248" s="192"/>
      <c r="L248" s="193">
        <f t="shared" si="195"/>
        <v>-3.0375462342011182E-7</v>
      </c>
      <c r="M248" s="22"/>
      <c r="N248" s="22"/>
    </row>
    <row r="249" spans="1:15" ht="20.100000000000001" customHeight="1" x14ac:dyDescent="0.25">
      <c r="A249" s="269"/>
      <c r="B249" s="161" t="s">
        <v>64</v>
      </c>
      <c r="C249" s="170">
        <f t="shared" ref="C249:F249" si="197">C232</f>
        <v>94.485900000000001</v>
      </c>
      <c r="D249" s="164">
        <f t="shared" si="197"/>
        <v>1</v>
      </c>
      <c r="E249" s="163">
        <f t="shared" si="197"/>
        <v>2</v>
      </c>
      <c r="F249" s="191">
        <f t="shared" si="197"/>
        <v>5.57E-2</v>
      </c>
      <c r="G249" s="193">
        <f t="shared" si="191"/>
        <v>4.0079704307380792E-7</v>
      </c>
      <c r="H249" s="203">
        <f t="shared" si="192"/>
        <v>1.8197698162624268E-9</v>
      </c>
      <c r="I249" s="192">
        <f t="shared" si="193"/>
        <v>1.7194258888239004E-7</v>
      </c>
      <c r="J249" s="193">
        <f t="shared" si="194"/>
        <v>0.42900164024095938</v>
      </c>
      <c r="K249" s="192"/>
      <c r="L249" s="193">
        <f t="shared" si="195"/>
        <v>-3.1582922176110804E-7</v>
      </c>
      <c r="M249" s="22"/>
      <c r="N249" s="22"/>
    </row>
    <row r="250" spans="1:15" ht="20.100000000000001" customHeight="1" x14ac:dyDescent="0.25">
      <c r="A250" s="269"/>
      <c r="B250" s="161" t="s">
        <v>65</v>
      </c>
      <c r="C250" s="170">
        <f t="shared" ref="C250:F250" si="198">C233</f>
        <v>75.623900000000006</v>
      </c>
      <c r="D250" s="164">
        <f t="shared" si="198"/>
        <v>1</v>
      </c>
      <c r="E250" s="163">
        <f t="shared" si="198"/>
        <v>2</v>
      </c>
      <c r="F250" s="191">
        <f t="shared" si="198"/>
        <v>5.57E-2</v>
      </c>
      <c r="G250" s="193">
        <f t="shared" si="191"/>
        <v>4.1900789184012546E-7</v>
      </c>
      <c r="H250" s="203">
        <f t="shared" si="192"/>
        <v>1.9758452518190166E-9</v>
      </c>
      <c r="I250" s="192">
        <f t="shared" si="193"/>
        <v>1.4942112373903614E-7</v>
      </c>
      <c r="J250" s="193">
        <f t="shared" si="194"/>
        <v>0.35660694380441049</v>
      </c>
      <c r="K250" s="192"/>
      <c r="L250" s="193">
        <f t="shared" si="195"/>
        <v>-2.976183729947905E-7</v>
      </c>
      <c r="M250" s="22"/>
      <c r="N250" s="22"/>
    </row>
    <row r="251" spans="1:15" ht="20.100000000000001" customHeight="1" x14ac:dyDescent="0.25">
      <c r="A251" s="269"/>
      <c r="B251" s="161" t="s">
        <v>61</v>
      </c>
      <c r="C251" s="170">
        <f t="shared" ref="C251:F251" si="199">C234</f>
        <v>33.049199999999999</v>
      </c>
      <c r="D251" s="164">
        <f t="shared" si="199"/>
        <v>1</v>
      </c>
      <c r="E251" s="163">
        <f t="shared" si="199"/>
        <v>2</v>
      </c>
      <c r="F251" s="191">
        <f t="shared" si="199"/>
        <v>5.57E-2</v>
      </c>
      <c r="G251" s="193">
        <f t="shared" si="191"/>
        <v>4.954452231758544E-7</v>
      </c>
      <c r="H251" s="203">
        <f t="shared" si="192"/>
        <v>2.6947505071038447E-9</v>
      </c>
      <c r="I251" s="192">
        <f t="shared" si="193"/>
        <v>8.9059348459376376E-8</v>
      </c>
      <c r="J251" s="193">
        <f t="shared" si="194"/>
        <v>0.17975619562642439</v>
      </c>
      <c r="K251" s="192"/>
      <c r="L251" s="193">
        <f t="shared" si="195"/>
        <v>-2.2118104165906156E-7</v>
      </c>
      <c r="M251" s="22"/>
      <c r="N251" s="22"/>
    </row>
    <row r="252" spans="1:15" ht="20.100000000000001" customHeight="1" x14ac:dyDescent="0.25">
      <c r="A252" s="269"/>
      <c r="B252" s="161" t="s">
        <v>143</v>
      </c>
      <c r="C252" s="170">
        <f t="shared" ref="C252:F252" si="200">C235</f>
        <v>26.0762</v>
      </c>
      <c r="D252" s="164">
        <f t="shared" si="200"/>
        <v>1</v>
      </c>
      <c r="E252" s="163">
        <f t="shared" si="200"/>
        <v>2</v>
      </c>
      <c r="F252" s="191">
        <f t="shared" si="200"/>
        <v>5.57E-2</v>
      </c>
      <c r="G252" s="193">
        <f t="shared" si="191"/>
        <v>4.6543659161717752E-7</v>
      </c>
      <c r="H252" s="203">
        <f t="shared" si="192"/>
        <v>2.4003155382272508E-9</v>
      </c>
      <c r="I252" s="192">
        <f t="shared" si="193"/>
        <v>6.2591108037921442E-8</v>
      </c>
      <c r="J252" s="193">
        <f t="shared" si="194"/>
        <v>0.13447827086488023</v>
      </c>
      <c r="K252" s="192"/>
      <c r="L252" s="193">
        <f t="shared" si="195"/>
        <v>-2.5118967321773844E-7</v>
      </c>
      <c r="M252" s="22"/>
      <c r="N252" s="22"/>
    </row>
    <row r="253" spans="1:15" ht="20.100000000000001" customHeight="1" x14ac:dyDescent="0.25">
      <c r="A253" s="269"/>
      <c r="B253" s="161" t="s">
        <v>141</v>
      </c>
      <c r="C253" s="170">
        <f t="shared" ref="C253:F253" si="201">C236</f>
        <v>17.547599999999999</v>
      </c>
      <c r="D253" s="164">
        <f t="shared" si="201"/>
        <v>1</v>
      </c>
      <c r="E253" s="163">
        <f t="shared" si="201"/>
        <v>2</v>
      </c>
      <c r="F253" s="191">
        <f t="shared" si="201"/>
        <v>5.57E-2</v>
      </c>
      <c r="G253" s="193">
        <f t="shared" si="191"/>
        <v>3.6122414680169245E-6</v>
      </c>
      <c r="H253" s="203">
        <f t="shared" si="192"/>
        <v>1.0672382763169681E-7</v>
      </c>
      <c r="I253" s="192">
        <f t="shared" si="193"/>
        <v>1.8727470377499629E-6</v>
      </c>
      <c r="J253" s="193">
        <f t="shared" si="194"/>
        <v>0.51844458747606303</v>
      </c>
      <c r="K253" s="192"/>
      <c r="L253" s="193">
        <f t="shared" si="195"/>
        <v>2.8956152031820088E-6</v>
      </c>
      <c r="M253" s="22"/>
      <c r="N253" s="22"/>
    </row>
    <row r="254" spans="1:15" ht="20.100000000000001" customHeight="1" x14ac:dyDescent="0.25">
      <c r="A254" s="269"/>
      <c r="B254" s="161" t="s">
        <v>85</v>
      </c>
      <c r="C254" s="170">
        <f t="shared" ref="C254:F254" si="202">C237</f>
        <v>95.631299999999982</v>
      </c>
      <c r="D254" s="164">
        <f t="shared" si="202"/>
        <v>1</v>
      </c>
      <c r="E254" s="163">
        <f t="shared" si="202"/>
        <v>2</v>
      </c>
      <c r="F254" s="191">
        <f t="shared" si="202"/>
        <v>5.57E-2</v>
      </c>
      <c r="G254" s="193">
        <f t="shared" si="191"/>
        <v>5.9323371523115942E-7</v>
      </c>
      <c r="H254" s="203">
        <f t="shared" si="192"/>
        <v>3.7617442482972971E-9</v>
      </c>
      <c r="I254" s="192">
        <f t="shared" si="193"/>
        <v>3.5974049273219323E-7</v>
      </c>
      <c r="J254" s="193">
        <f t="shared" si="194"/>
        <v>0.60640601418281959</v>
      </c>
      <c r="K254" s="192"/>
      <c r="L254" s="193">
        <f t="shared" si="195"/>
        <v>-1.2339254960375654E-7</v>
      </c>
      <c r="M254" s="22"/>
      <c r="N254" s="22"/>
    </row>
    <row r="255" spans="1:15" ht="20.100000000000001" customHeight="1" x14ac:dyDescent="0.25">
      <c r="A255" s="269"/>
      <c r="B255" s="161" t="s">
        <v>86</v>
      </c>
      <c r="C255" s="170">
        <f t="shared" ref="C255:F255" si="203">C238</f>
        <v>4.4747000000000003</v>
      </c>
      <c r="D255" s="164">
        <f t="shared" si="203"/>
        <v>1</v>
      </c>
      <c r="E255" s="163">
        <f t="shared" si="203"/>
        <v>2</v>
      </c>
      <c r="F255" s="191">
        <f t="shared" si="203"/>
        <v>5.57E-2</v>
      </c>
      <c r="G255" s="193">
        <f t="shared" si="191"/>
        <v>1.1715776025566461E-7</v>
      </c>
      <c r="H255" s="203">
        <f t="shared" si="192"/>
        <v>1.865706845143318E-10</v>
      </c>
      <c r="I255" s="192">
        <f t="shared" si="193"/>
        <v>8.3484784199628053E-10</v>
      </c>
      <c r="J255" s="193">
        <f t="shared" si="194"/>
        <v>7.1258433088380538E-3</v>
      </c>
      <c r="K255" s="192"/>
      <c r="L255" s="193">
        <f t="shared" si="195"/>
        <v>-5.9946850457925135E-7</v>
      </c>
      <c r="M255" s="22"/>
      <c r="N255" s="22"/>
    </row>
    <row r="256" spans="1:15" ht="20.100000000000001" customHeight="1" thickBot="1" x14ac:dyDescent="0.3">
      <c r="A256" s="269"/>
      <c r="B256" s="206" t="s">
        <v>142</v>
      </c>
      <c r="C256" s="194">
        <f t="shared" ref="C256:F256" si="204">C239</f>
        <v>44.459099999999999</v>
      </c>
      <c r="D256" s="174">
        <f t="shared" si="204"/>
        <v>1</v>
      </c>
      <c r="E256" s="165">
        <f t="shared" si="204"/>
        <v>2</v>
      </c>
      <c r="F256" s="195">
        <f t="shared" si="204"/>
        <v>5.57E-2</v>
      </c>
      <c r="G256" s="197">
        <f t="shared" si="191"/>
        <v>3.2603984178485028E-7</v>
      </c>
      <c r="H256" s="298">
        <f t="shared" si="192"/>
        <v>1.2416261100502812E-9</v>
      </c>
      <c r="I256" s="295">
        <f t="shared" si="193"/>
        <v>5.5201579389336459E-8</v>
      </c>
      <c r="J256" s="296">
        <f t="shared" si="194"/>
        <v>0.16930930614842865</v>
      </c>
      <c r="K256" s="196"/>
      <c r="L256" s="197">
        <f t="shared" si="195"/>
        <v>-3.9058642305006568E-7</v>
      </c>
      <c r="M256" s="22"/>
      <c r="N256" s="22"/>
    </row>
    <row r="257" spans="1:15" ht="45" customHeight="1" thickBot="1" x14ac:dyDescent="0.3">
      <c r="A257" s="269"/>
      <c r="B257" s="623" t="s">
        <v>55</v>
      </c>
      <c r="C257" s="624"/>
      <c r="D257" s="624"/>
      <c r="E257" s="624"/>
      <c r="F257" s="624"/>
      <c r="G257" s="624"/>
      <c r="H257" s="625"/>
      <c r="I257" s="508">
        <f>SUM(I246:I256)</f>
        <v>3.1803054787837135E-6</v>
      </c>
      <c r="J257" s="508">
        <f>SUM(J246:J256)</f>
        <v>3.5109612562266688</v>
      </c>
      <c r="K257" s="198"/>
      <c r="L257" s="267"/>
      <c r="M257" s="22"/>
      <c r="N257" s="22"/>
    </row>
    <row r="258" spans="1:15" ht="20.100000000000001" customHeight="1" x14ac:dyDescent="0.2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</row>
    <row r="259" spans="1:15" ht="20.100000000000001" customHeight="1" x14ac:dyDescent="0.2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</row>
    <row r="260" spans="1:15" ht="20.100000000000001" customHeight="1" x14ac:dyDescent="0.25">
      <c r="B260" s="222"/>
      <c r="C260" s="198"/>
      <c r="D260" s="198"/>
      <c r="E260" s="223"/>
      <c r="F260" s="33"/>
      <c r="G260" s="300"/>
      <c r="H260" s="300"/>
      <c r="I260" s="300"/>
      <c r="J260" s="300"/>
      <c r="K260" s="300"/>
      <c r="L260" s="300"/>
    </row>
    <row r="261" spans="1:15" ht="20.100000000000001" customHeight="1" x14ac:dyDescent="0.25">
      <c r="B261" s="222"/>
      <c r="C261" s="198"/>
      <c r="D261" s="198"/>
      <c r="E261" s="223"/>
      <c r="F261" s="33"/>
      <c r="G261" s="300"/>
      <c r="H261" s="300"/>
      <c r="I261" s="300"/>
      <c r="J261" s="300"/>
      <c r="K261" s="300"/>
      <c r="L261" s="300"/>
    </row>
    <row r="262" spans="1:15" ht="20.100000000000001" customHeight="1" x14ac:dyDescent="0.25">
      <c r="B262" s="222"/>
      <c r="C262" s="198"/>
      <c r="D262" s="198"/>
      <c r="E262" s="223"/>
      <c r="F262" s="33"/>
      <c r="G262" s="300"/>
      <c r="H262" s="300"/>
      <c r="I262" s="300"/>
      <c r="J262" s="300"/>
      <c r="K262" s="300"/>
      <c r="L262" s="300"/>
    </row>
    <row r="263" spans="1:15" ht="20.100000000000001" customHeight="1" x14ac:dyDescent="0.25">
      <c r="B263" s="222"/>
      <c r="C263" s="198"/>
      <c r="D263" s="198"/>
      <c r="E263" s="223"/>
      <c r="F263" s="33"/>
      <c r="G263" s="300"/>
      <c r="H263" s="300"/>
      <c r="I263" s="300"/>
      <c r="J263" s="300"/>
      <c r="K263" s="300"/>
      <c r="L263" s="300"/>
    </row>
    <row r="264" spans="1:15" ht="20.100000000000001" customHeight="1" x14ac:dyDescent="0.25">
      <c r="B264" s="222"/>
      <c r="C264" s="198"/>
      <c r="D264" s="198"/>
      <c r="E264" s="223"/>
      <c r="F264" s="33"/>
      <c r="G264" s="300"/>
      <c r="H264" s="300"/>
      <c r="I264" s="300"/>
      <c r="J264" s="300"/>
      <c r="K264" s="300"/>
      <c r="L264" s="300"/>
    </row>
    <row r="265" spans="1:15" ht="20.100000000000001" customHeight="1" x14ac:dyDescent="0.25">
      <c r="B265" s="222"/>
      <c r="C265" s="198"/>
      <c r="D265" s="198"/>
      <c r="E265" s="223"/>
      <c r="F265" s="33"/>
      <c r="G265" s="300"/>
      <c r="H265" s="300"/>
      <c r="I265" s="300"/>
      <c r="J265" s="300"/>
      <c r="K265" s="300"/>
      <c r="L265" s="300"/>
    </row>
    <row r="266" spans="1:15" ht="20.100000000000001" customHeight="1" x14ac:dyDescent="0.25">
      <c r="B266" s="222"/>
      <c r="C266" s="198"/>
      <c r="D266" s="198"/>
      <c r="E266" s="223"/>
      <c r="F266" s="33"/>
      <c r="G266" s="300"/>
      <c r="H266" s="300"/>
      <c r="I266" s="300"/>
      <c r="J266" s="300"/>
      <c r="K266" s="300"/>
      <c r="L266" s="300"/>
    </row>
    <row r="267" spans="1:15" ht="20.100000000000001" customHeight="1" x14ac:dyDescent="0.25">
      <c r="B267" s="222"/>
      <c r="C267" s="198"/>
      <c r="D267" s="198"/>
      <c r="E267" s="223"/>
      <c r="F267" s="33"/>
      <c r="G267" s="300"/>
      <c r="H267" s="300"/>
      <c r="I267" s="300"/>
      <c r="J267" s="300"/>
      <c r="K267" s="300"/>
      <c r="L267" s="300"/>
    </row>
    <row r="268" spans="1:15" ht="20.100000000000001" customHeight="1" x14ac:dyDescent="0.25">
      <c r="B268" s="222"/>
      <c r="C268" s="198"/>
      <c r="D268" s="198"/>
      <c r="E268" s="223"/>
      <c r="F268" s="33"/>
      <c r="G268" s="300"/>
      <c r="H268" s="300"/>
      <c r="I268" s="300"/>
      <c r="J268" s="300"/>
      <c r="K268" s="300"/>
      <c r="L268" s="300"/>
    </row>
    <row r="269" spans="1:15" ht="45" customHeight="1" x14ac:dyDescent="0.25">
      <c r="B269" s="640"/>
      <c r="C269" s="640"/>
      <c r="D269" s="640"/>
      <c r="E269" s="640"/>
      <c r="F269" s="640"/>
      <c r="G269" s="640"/>
      <c r="H269" s="640"/>
      <c r="I269" s="33"/>
      <c r="J269" s="33"/>
      <c r="K269" s="198"/>
      <c r="L269" s="267"/>
    </row>
    <row r="270" spans="1:15" ht="18.75" x14ac:dyDescent="0.25">
      <c r="B270" s="199"/>
      <c r="C270" s="199"/>
      <c r="D270" s="199"/>
      <c r="E270" s="199"/>
      <c r="F270" s="199"/>
      <c r="G270" s="199"/>
      <c r="H270" s="199"/>
      <c r="I270" s="33"/>
      <c r="J270" s="33"/>
      <c r="K270" s="198"/>
      <c r="L270" s="267"/>
      <c r="M270" s="145"/>
      <c r="N270" s="145"/>
      <c r="O270" s="145"/>
    </row>
    <row r="271" spans="1:15" ht="20.100000000000001" customHeight="1" x14ac:dyDescent="0.25">
      <c r="B271" s="555"/>
      <c r="C271" s="555"/>
      <c r="D271" s="555"/>
      <c r="E271" s="555"/>
      <c r="F271" s="555"/>
      <c r="G271" s="555"/>
      <c r="H271" s="555"/>
      <c r="I271" s="555"/>
      <c r="J271" s="555"/>
      <c r="K271" s="555"/>
      <c r="L271" s="555"/>
    </row>
    <row r="272" spans="1:15" ht="20.100000000000001" customHeight="1" x14ac:dyDescent="0.25">
      <c r="B272" s="555"/>
      <c r="C272" s="555"/>
      <c r="D272" s="555"/>
      <c r="E272" s="555"/>
      <c r="F272" s="555"/>
      <c r="G272" s="555"/>
      <c r="H272" s="555"/>
      <c r="I272" s="555"/>
      <c r="J272" s="555"/>
      <c r="K272" s="555"/>
      <c r="L272" s="555"/>
    </row>
    <row r="273" spans="2:12" ht="20.100000000000001" customHeight="1" x14ac:dyDescent="0.25">
      <c r="B273" s="537"/>
      <c r="C273" s="266"/>
      <c r="D273" s="537"/>
      <c r="E273" s="537"/>
      <c r="F273" s="537"/>
      <c r="G273" s="266"/>
      <c r="H273" s="266"/>
      <c r="I273" s="266"/>
      <c r="J273" s="537"/>
      <c r="K273" s="537"/>
      <c r="L273" s="533"/>
    </row>
    <row r="274" spans="2:12" ht="20.100000000000001" customHeight="1" x14ac:dyDescent="0.25">
      <c r="B274" s="537"/>
      <c r="C274" s="266"/>
      <c r="D274" s="266"/>
      <c r="E274" s="266"/>
      <c r="F274" s="266"/>
      <c r="G274" s="266"/>
      <c r="H274" s="266"/>
      <c r="I274" s="266"/>
      <c r="J274" s="537"/>
      <c r="K274" s="537"/>
      <c r="L274" s="533"/>
    </row>
    <row r="275" spans="2:12" ht="20.100000000000001" customHeight="1" x14ac:dyDescent="0.25">
      <c r="B275" s="222"/>
      <c r="C275" s="198"/>
      <c r="D275" s="198"/>
      <c r="E275" s="223"/>
      <c r="F275" s="33"/>
      <c r="G275" s="300"/>
      <c r="H275" s="300"/>
      <c r="I275" s="300"/>
      <c r="J275" s="300"/>
      <c r="K275" s="301"/>
      <c r="L275" s="300"/>
    </row>
    <row r="276" spans="2:12" ht="20.100000000000001" customHeight="1" x14ac:dyDescent="0.25">
      <c r="B276" s="222"/>
      <c r="C276" s="198"/>
      <c r="D276" s="198"/>
      <c r="E276" s="223"/>
      <c r="F276" s="33"/>
      <c r="G276" s="300"/>
      <c r="H276" s="300"/>
      <c r="I276" s="300"/>
      <c r="J276" s="300"/>
      <c r="K276" s="300"/>
      <c r="L276" s="300"/>
    </row>
    <row r="277" spans="2:12" ht="20.100000000000001" customHeight="1" x14ac:dyDescent="0.25">
      <c r="B277" s="222"/>
      <c r="C277" s="198"/>
      <c r="D277" s="198"/>
      <c r="E277" s="223"/>
      <c r="F277" s="33"/>
      <c r="G277" s="300"/>
      <c r="H277" s="300"/>
      <c r="I277" s="300"/>
      <c r="J277" s="300"/>
      <c r="K277" s="300"/>
      <c r="L277" s="300"/>
    </row>
    <row r="278" spans="2:12" ht="20.100000000000001" customHeight="1" x14ac:dyDescent="0.25">
      <c r="B278" s="222"/>
      <c r="C278" s="198"/>
      <c r="D278" s="198"/>
      <c r="E278" s="223"/>
      <c r="F278" s="33"/>
      <c r="G278" s="300"/>
      <c r="H278" s="300"/>
      <c r="I278" s="300"/>
      <c r="J278" s="300"/>
      <c r="K278" s="300"/>
      <c r="L278" s="300"/>
    </row>
    <row r="279" spans="2:12" ht="20.100000000000001" customHeight="1" x14ac:dyDescent="0.25">
      <c r="B279" s="222"/>
      <c r="C279" s="198"/>
      <c r="D279" s="198"/>
      <c r="E279" s="223"/>
      <c r="F279" s="33"/>
      <c r="G279" s="300"/>
      <c r="H279" s="300"/>
      <c r="I279" s="300"/>
      <c r="J279" s="300"/>
      <c r="K279" s="300"/>
      <c r="L279" s="300"/>
    </row>
    <row r="280" spans="2:12" ht="20.100000000000001" customHeight="1" x14ac:dyDescent="0.25">
      <c r="B280" s="222"/>
      <c r="C280" s="198"/>
      <c r="D280" s="198"/>
      <c r="E280" s="223"/>
      <c r="F280" s="33"/>
      <c r="G280" s="300"/>
      <c r="H280" s="300"/>
      <c r="I280" s="300"/>
      <c r="J280" s="300"/>
      <c r="K280" s="300"/>
      <c r="L280" s="300"/>
    </row>
    <row r="281" spans="2:12" ht="20.100000000000001" customHeight="1" x14ac:dyDescent="0.25">
      <c r="B281" s="222"/>
      <c r="C281" s="198"/>
      <c r="D281" s="198"/>
      <c r="E281" s="223"/>
      <c r="F281" s="33"/>
      <c r="G281" s="300"/>
      <c r="H281" s="300"/>
      <c r="I281" s="300"/>
      <c r="J281" s="300"/>
      <c r="K281" s="300"/>
      <c r="L281" s="300"/>
    </row>
    <row r="282" spans="2:12" ht="20.100000000000001" customHeight="1" x14ac:dyDescent="0.25">
      <c r="B282" s="222"/>
      <c r="C282" s="198"/>
      <c r="D282" s="198"/>
      <c r="E282" s="223"/>
      <c r="F282" s="33"/>
      <c r="G282" s="300"/>
      <c r="H282" s="300"/>
      <c r="I282" s="300"/>
      <c r="J282" s="300"/>
      <c r="K282" s="300"/>
      <c r="L282" s="300"/>
    </row>
    <row r="283" spans="2:12" ht="20.100000000000001" customHeight="1" x14ac:dyDescent="0.25">
      <c r="B283" s="222"/>
      <c r="C283" s="198"/>
      <c r="D283" s="198"/>
      <c r="E283" s="223"/>
      <c r="F283" s="33"/>
      <c r="G283" s="300"/>
      <c r="H283" s="300"/>
      <c r="I283" s="300"/>
      <c r="J283" s="300"/>
      <c r="K283" s="300"/>
      <c r="L283" s="300"/>
    </row>
    <row r="284" spans="2:12" ht="20.100000000000001" customHeight="1" x14ac:dyDescent="0.25">
      <c r="B284" s="222"/>
      <c r="C284" s="198"/>
      <c r="D284" s="198"/>
      <c r="E284" s="223"/>
      <c r="F284" s="33"/>
      <c r="G284" s="300"/>
      <c r="H284" s="300"/>
      <c r="I284" s="300"/>
      <c r="J284" s="300"/>
      <c r="K284" s="300"/>
      <c r="L284" s="300"/>
    </row>
    <row r="285" spans="2:12" ht="20.100000000000001" customHeight="1" x14ac:dyDescent="0.25">
      <c r="B285" s="222"/>
      <c r="C285" s="198"/>
      <c r="D285" s="198"/>
      <c r="E285" s="223"/>
      <c r="F285" s="33"/>
      <c r="G285" s="300"/>
      <c r="H285" s="300"/>
      <c r="I285" s="300"/>
      <c r="J285" s="300"/>
      <c r="K285" s="300"/>
      <c r="L285" s="300"/>
    </row>
    <row r="286" spans="2:12" ht="20.100000000000001" customHeight="1" x14ac:dyDescent="0.25">
      <c r="B286" s="222"/>
      <c r="C286" s="198"/>
      <c r="D286" s="198"/>
      <c r="E286" s="223"/>
      <c r="F286" s="33"/>
      <c r="G286" s="300"/>
      <c r="H286" s="300"/>
      <c r="I286" s="300"/>
      <c r="J286" s="300"/>
      <c r="K286" s="300"/>
      <c r="L286" s="300"/>
    </row>
    <row r="287" spans="2:12" ht="20.100000000000001" customHeight="1" x14ac:dyDescent="0.25">
      <c r="B287" s="222"/>
      <c r="C287" s="198"/>
      <c r="D287" s="198"/>
      <c r="E287" s="223"/>
      <c r="F287" s="33"/>
      <c r="G287" s="300"/>
      <c r="H287" s="300"/>
      <c r="I287" s="300"/>
      <c r="J287" s="300"/>
      <c r="K287" s="300"/>
      <c r="L287" s="300"/>
    </row>
    <row r="288" spans="2:12" ht="20.100000000000001" customHeight="1" x14ac:dyDescent="0.25">
      <c r="B288" s="222"/>
      <c r="C288" s="198"/>
      <c r="D288" s="198"/>
      <c r="E288" s="223"/>
      <c r="F288" s="33"/>
      <c r="G288" s="300"/>
      <c r="H288" s="300"/>
      <c r="I288" s="300"/>
      <c r="J288" s="300"/>
      <c r="K288" s="300"/>
      <c r="L288" s="300"/>
    </row>
    <row r="289" spans="2:15" ht="20.100000000000001" customHeight="1" x14ac:dyDescent="0.25">
      <c r="B289" s="222"/>
      <c r="C289" s="198"/>
      <c r="D289" s="198"/>
      <c r="E289" s="223"/>
      <c r="F289" s="33"/>
      <c r="G289" s="300"/>
      <c r="H289" s="300"/>
      <c r="I289" s="300"/>
      <c r="J289" s="300"/>
      <c r="K289" s="300"/>
      <c r="L289" s="300"/>
    </row>
    <row r="290" spans="2:15" ht="20.100000000000001" customHeight="1" x14ac:dyDescent="0.25">
      <c r="B290" s="222"/>
      <c r="C290" s="198"/>
      <c r="D290" s="198"/>
      <c r="E290" s="223"/>
      <c r="F290" s="33"/>
      <c r="G290" s="300"/>
      <c r="H290" s="300"/>
      <c r="I290" s="300"/>
      <c r="J290" s="300"/>
      <c r="K290" s="300"/>
      <c r="L290" s="300"/>
    </row>
    <row r="291" spans="2:15" ht="20.100000000000001" customHeight="1" x14ac:dyDescent="0.25">
      <c r="B291" s="222"/>
      <c r="C291" s="198"/>
      <c r="D291" s="198"/>
      <c r="E291" s="223"/>
      <c r="F291" s="33"/>
      <c r="G291" s="300"/>
      <c r="H291" s="300"/>
      <c r="I291" s="300"/>
      <c r="J291" s="300"/>
      <c r="K291" s="300"/>
      <c r="L291" s="300"/>
    </row>
    <row r="292" spans="2:15" ht="20.100000000000001" customHeight="1" x14ac:dyDescent="0.25">
      <c r="B292" s="222"/>
      <c r="C292" s="198"/>
      <c r="D292" s="198"/>
      <c r="E292" s="223"/>
      <c r="F292" s="33"/>
      <c r="G292" s="300"/>
      <c r="H292" s="300"/>
      <c r="I292" s="300"/>
      <c r="J292" s="300"/>
      <c r="K292" s="300"/>
      <c r="L292" s="300"/>
    </row>
    <row r="293" spans="2:15" ht="20.100000000000001" customHeight="1" x14ac:dyDescent="0.25">
      <c r="B293" s="222"/>
      <c r="C293" s="198"/>
      <c r="D293" s="198"/>
      <c r="E293" s="223"/>
      <c r="F293" s="33"/>
      <c r="G293" s="300"/>
      <c r="H293" s="300"/>
      <c r="I293" s="300"/>
      <c r="J293" s="300"/>
      <c r="K293" s="300"/>
      <c r="L293" s="300"/>
    </row>
    <row r="294" spans="2:15" ht="45" customHeight="1" x14ac:dyDescent="0.25">
      <c r="B294" s="640"/>
      <c r="C294" s="640"/>
      <c r="D294" s="640"/>
      <c r="E294" s="640"/>
      <c r="F294" s="640"/>
      <c r="G294" s="640"/>
      <c r="H294" s="640"/>
      <c r="I294" s="33"/>
      <c r="J294" s="33"/>
      <c r="K294" s="198"/>
      <c r="L294" s="267"/>
    </row>
    <row r="295" spans="2:15" ht="30" customHeight="1" x14ac:dyDescent="0.25">
      <c r="B295" s="199"/>
      <c r="C295" s="199"/>
      <c r="D295" s="199"/>
      <c r="E295" s="199"/>
      <c r="F295" s="199"/>
      <c r="G295" s="199"/>
      <c r="H295" s="199"/>
      <c r="I295" s="33"/>
      <c r="J295" s="33"/>
      <c r="K295" s="198"/>
      <c r="L295" s="267"/>
      <c r="M295" s="145"/>
      <c r="N295" s="145"/>
      <c r="O295" s="145"/>
    </row>
    <row r="296" spans="2:15" ht="20.100000000000001" customHeight="1" x14ac:dyDescent="0.25">
      <c r="B296" s="555"/>
      <c r="C296" s="555"/>
      <c r="D296" s="555"/>
      <c r="E296" s="555"/>
      <c r="F296" s="555"/>
      <c r="G296" s="555"/>
      <c r="H296" s="555"/>
      <c r="I296" s="555"/>
      <c r="J296" s="555"/>
      <c r="K296" s="555"/>
      <c r="L296" s="555"/>
    </row>
    <row r="297" spans="2:15" ht="20.100000000000001" customHeight="1" x14ac:dyDescent="0.25">
      <c r="B297" s="555"/>
      <c r="C297" s="555"/>
      <c r="D297" s="555"/>
      <c r="E297" s="555"/>
      <c r="F297" s="555"/>
      <c r="G297" s="555"/>
      <c r="H297" s="555"/>
      <c r="I297" s="555"/>
      <c r="J297" s="555"/>
      <c r="K297" s="555"/>
      <c r="L297" s="555"/>
    </row>
    <row r="298" spans="2:15" ht="20.100000000000001" customHeight="1" x14ac:dyDescent="0.25">
      <c r="B298" s="537"/>
      <c r="C298" s="266"/>
      <c r="D298" s="537"/>
      <c r="E298" s="537"/>
      <c r="F298" s="537"/>
      <c r="G298" s="266"/>
      <c r="H298" s="266"/>
      <c r="I298" s="266"/>
      <c r="J298" s="537"/>
      <c r="K298" s="537"/>
      <c r="L298" s="533"/>
    </row>
    <row r="299" spans="2:15" ht="20.100000000000001" customHeight="1" x14ac:dyDescent="0.25">
      <c r="B299" s="537"/>
      <c r="C299" s="266"/>
      <c r="D299" s="266"/>
      <c r="E299" s="266"/>
      <c r="F299" s="266"/>
      <c r="G299" s="266"/>
      <c r="H299" s="266"/>
      <c r="I299" s="266"/>
      <c r="J299" s="537"/>
      <c r="K299" s="537"/>
      <c r="L299" s="533"/>
    </row>
    <row r="300" spans="2:15" ht="20.100000000000001" customHeight="1" x14ac:dyDescent="0.25">
      <c r="B300" s="222"/>
      <c r="C300" s="198"/>
      <c r="D300" s="198"/>
      <c r="E300" s="223"/>
      <c r="F300" s="33"/>
      <c r="G300" s="300"/>
      <c r="H300" s="300"/>
      <c r="I300" s="300"/>
      <c r="J300" s="300"/>
      <c r="K300" s="301"/>
      <c r="L300" s="300"/>
    </row>
    <row r="301" spans="2:15" ht="20.100000000000001" customHeight="1" x14ac:dyDescent="0.25">
      <c r="B301" s="222"/>
      <c r="C301" s="198"/>
      <c r="D301" s="198"/>
      <c r="E301" s="223"/>
      <c r="F301" s="33"/>
      <c r="G301" s="300"/>
      <c r="H301" s="300"/>
      <c r="I301" s="300"/>
      <c r="J301" s="300"/>
      <c r="K301" s="300"/>
      <c r="L301" s="300"/>
    </row>
    <row r="302" spans="2:15" ht="20.100000000000001" customHeight="1" x14ac:dyDescent="0.25">
      <c r="B302" s="222"/>
      <c r="C302" s="198"/>
      <c r="D302" s="198"/>
      <c r="E302" s="223"/>
      <c r="F302" s="33"/>
      <c r="G302" s="300"/>
      <c r="H302" s="300"/>
      <c r="I302" s="300"/>
      <c r="J302" s="300"/>
      <c r="K302" s="300"/>
      <c r="L302" s="300"/>
    </row>
    <row r="303" spans="2:15" ht="20.100000000000001" customHeight="1" x14ac:dyDescent="0.25">
      <c r="B303" s="222"/>
      <c r="C303" s="198"/>
      <c r="D303" s="198"/>
      <c r="E303" s="223"/>
      <c r="F303" s="33"/>
      <c r="G303" s="300"/>
      <c r="H303" s="300"/>
      <c r="I303" s="300"/>
      <c r="J303" s="300"/>
      <c r="K303" s="300"/>
      <c r="L303" s="300"/>
    </row>
    <row r="304" spans="2:15" ht="20.100000000000001" customHeight="1" x14ac:dyDescent="0.25">
      <c r="B304" s="222"/>
      <c r="C304" s="198"/>
      <c r="D304" s="198"/>
      <c r="E304" s="223"/>
      <c r="F304" s="33"/>
      <c r="G304" s="300"/>
      <c r="H304" s="300"/>
      <c r="I304" s="300"/>
      <c r="J304" s="300"/>
      <c r="K304" s="300"/>
      <c r="L304" s="300"/>
    </row>
    <row r="305" spans="2:15" ht="20.100000000000001" customHeight="1" x14ac:dyDescent="0.25">
      <c r="B305" s="222"/>
      <c r="C305" s="198"/>
      <c r="D305" s="198"/>
      <c r="E305" s="223"/>
      <c r="F305" s="33"/>
      <c r="G305" s="300"/>
      <c r="H305" s="300"/>
      <c r="I305" s="300"/>
      <c r="J305" s="300"/>
      <c r="K305" s="300"/>
      <c r="L305" s="300"/>
    </row>
    <row r="306" spans="2:15" ht="20.100000000000001" customHeight="1" x14ac:dyDescent="0.25">
      <c r="B306" s="222"/>
      <c r="C306" s="198"/>
      <c r="D306" s="198"/>
      <c r="E306" s="223"/>
      <c r="F306" s="33"/>
      <c r="G306" s="300"/>
      <c r="H306" s="300"/>
      <c r="I306" s="300"/>
      <c r="J306" s="300"/>
      <c r="K306" s="300"/>
      <c r="L306" s="300"/>
    </row>
    <row r="307" spans="2:15" ht="20.100000000000001" customHeight="1" x14ac:dyDescent="0.25">
      <c r="B307" s="222"/>
      <c r="C307" s="198"/>
      <c r="D307" s="198"/>
      <c r="E307" s="223"/>
      <c r="F307" s="33"/>
      <c r="G307" s="300"/>
      <c r="H307" s="300"/>
      <c r="I307" s="300"/>
      <c r="J307" s="300"/>
      <c r="K307" s="300"/>
      <c r="L307" s="300"/>
    </row>
    <row r="308" spans="2:15" ht="20.100000000000001" customHeight="1" x14ac:dyDescent="0.25">
      <c r="B308" s="222"/>
      <c r="C308" s="198"/>
      <c r="D308" s="198"/>
      <c r="E308" s="223"/>
      <c r="F308" s="33"/>
      <c r="G308" s="300"/>
      <c r="H308" s="300"/>
      <c r="I308" s="300"/>
      <c r="J308" s="300"/>
      <c r="K308" s="300"/>
      <c r="L308" s="300"/>
    </row>
    <row r="309" spans="2:15" ht="20.100000000000001" customHeight="1" x14ac:dyDescent="0.25">
      <c r="B309" s="222"/>
      <c r="C309" s="198"/>
      <c r="D309" s="198"/>
      <c r="E309" s="223"/>
      <c r="F309" s="33"/>
      <c r="G309" s="300"/>
      <c r="H309" s="300"/>
      <c r="I309" s="300"/>
      <c r="J309" s="300"/>
      <c r="K309" s="300"/>
      <c r="L309" s="300"/>
    </row>
    <row r="310" spans="2:15" ht="20.100000000000001" customHeight="1" x14ac:dyDescent="0.25">
      <c r="B310" s="222"/>
      <c r="C310" s="198"/>
      <c r="D310" s="198"/>
      <c r="E310" s="223"/>
      <c r="F310" s="33"/>
      <c r="G310" s="300"/>
      <c r="H310" s="300"/>
      <c r="I310" s="300"/>
      <c r="J310" s="300"/>
      <c r="K310" s="300"/>
      <c r="L310" s="300"/>
    </row>
    <row r="311" spans="2:15" ht="20.100000000000001" customHeight="1" x14ac:dyDescent="0.25">
      <c r="B311" s="222"/>
      <c r="C311" s="198"/>
      <c r="D311" s="198"/>
      <c r="E311" s="223"/>
      <c r="F311" s="33"/>
      <c r="G311" s="300"/>
      <c r="H311" s="300"/>
      <c r="I311" s="300"/>
      <c r="J311" s="300"/>
      <c r="K311" s="300"/>
      <c r="L311" s="300"/>
    </row>
    <row r="312" spans="2:15" ht="20.100000000000001" customHeight="1" x14ac:dyDescent="0.25">
      <c r="B312" s="222"/>
      <c r="C312" s="198"/>
      <c r="D312" s="198"/>
      <c r="E312" s="223"/>
      <c r="F312" s="33"/>
      <c r="G312" s="300"/>
      <c r="H312" s="300"/>
      <c r="I312" s="300"/>
      <c r="J312" s="300"/>
      <c r="K312" s="300"/>
      <c r="L312" s="300"/>
    </row>
    <row r="313" spans="2:15" ht="20.100000000000001" customHeight="1" x14ac:dyDescent="0.25">
      <c r="B313" s="222"/>
      <c r="C313" s="198"/>
      <c r="D313" s="198"/>
      <c r="E313" s="223"/>
      <c r="F313" s="33"/>
      <c r="G313" s="300"/>
      <c r="H313" s="300"/>
      <c r="I313" s="300"/>
      <c r="J313" s="300"/>
      <c r="K313" s="300"/>
      <c r="L313" s="300"/>
    </row>
    <row r="314" spans="2:15" ht="20.100000000000001" customHeight="1" x14ac:dyDescent="0.25">
      <c r="B314" s="222"/>
      <c r="C314" s="198"/>
      <c r="D314" s="198"/>
      <c r="E314" s="223"/>
      <c r="F314" s="33"/>
      <c r="G314" s="300"/>
      <c r="H314" s="300"/>
      <c r="I314" s="300"/>
      <c r="J314" s="300"/>
      <c r="K314" s="300"/>
      <c r="L314" s="300"/>
    </row>
    <row r="315" spans="2:15" ht="20.100000000000001" customHeight="1" x14ac:dyDescent="0.25">
      <c r="B315" s="222"/>
      <c r="C315" s="198"/>
      <c r="D315" s="198"/>
      <c r="E315" s="223"/>
      <c r="F315" s="33"/>
      <c r="G315" s="300"/>
      <c r="H315" s="300"/>
      <c r="I315" s="300"/>
      <c r="J315" s="300"/>
      <c r="K315" s="300"/>
      <c r="L315" s="300"/>
    </row>
    <row r="316" spans="2:15" ht="20.100000000000001" customHeight="1" x14ac:dyDescent="0.25">
      <c r="B316" s="222"/>
      <c r="C316" s="198"/>
      <c r="D316" s="198"/>
      <c r="E316" s="223"/>
      <c r="F316" s="33"/>
      <c r="G316" s="300"/>
      <c r="H316" s="300"/>
      <c r="I316" s="300"/>
      <c r="J316" s="300"/>
      <c r="K316" s="300"/>
      <c r="L316" s="300"/>
    </row>
    <row r="317" spans="2:15" ht="20.100000000000001" customHeight="1" x14ac:dyDescent="0.25">
      <c r="B317" s="222"/>
      <c r="C317" s="198"/>
      <c r="D317" s="198"/>
      <c r="E317" s="223"/>
      <c r="F317" s="33"/>
      <c r="G317" s="300"/>
      <c r="H317" s="300"/>
      <c r="I317" s="300"/>
      <c r="J317" s="300"/>
      <c r="K317" s="300"/>
      <c r="L317" s="300"/>
    </row>
    <row r="318" spans="2:15" ht="20.100000000000001" customHeight="1" x14ac:dyDescent="0.25">
      <c r="B318" s="222"/>
      <c r="C318" s="198"/>
      <c r="D318" s="198"/>
      <c r="E318" s="223"/>
      <c r="F318" s="33"/>
      <c r="G318" s="300"/>
      <c r="H318" s="300"/>
      <c r="I318" s="300"/>
      <c r="J318" s="300"/>
      <c r="K318" s="300"/>
      <c r="L318" s="300"/>
    </row>
    <row r="319" spans="2:15" ht="45" customHeight="1" x14ac:dyDescent="0.25">
      <c r="B319" s="640"/>
      <c r="C319" s="640"/>
      <c r="D319" s="640"/>
      <c r="E319" s="640"/>
      <c r="F319" s="640"/>
      <c r="G319" s="640"/>
      <c r="H319" s="640"/>
      <c r="I319" s="33"/>
      <c r="J319" s="33"/>
      <c r="K319" s="198"/>
      <c r="L319" s="267"/>
    </row>
    <row r="320" spans="2:15" ht="30" customHeight="1" x14ac:dyDescent="0.25">
      <c r="B320" s="199"/>
      <c r="C320" s="199"/>
      <c r="D320" s="199"/>
      <c r="E320" s="199"/>
      <c r="F320" s="199"/>
      <c r="G320" s="199"/>
      <c r="H320" s="199"/>
      <c r="I320" s="33"/>
      <c r="J320" s="33"/>
      <c r="K320" s="198"/>
      <c r="L320" s="267"/>
      <c r="M320" s="145"/>
      <c r="N320" s="145"/>
      <c r="O320" s="145"/>
    </row>
    <row r="321" spans="2:12" ht="20.100000000000001" customHeight="1" x14ac:dyDescent="0.25">
      <c r="B321" s="555"/>
      <c r="C321" s="555"/>
      <c r="D321" s="555"/>
      <c r="E321" s="555"/>
      <c r="F321" s="555"/>
      <c r="G321" s="555"/>
      <c r="H321" s="555"/>
      <c r="I321" s="555"/>
      <c r="J321" s="555"/>
      <c r="K321" s="555"/>
      <c r="L321" s="555"/>
    </row>
    <row r="322" spans="2:12" ht="20.100000000000001" customHeight="1" x14ac:dyDescent="0.25">
      <c r="B322" s="555"/>
      <c r="C322" s="555"/>
      <c r="D322" s="555"/>
      <c r="E322" s="555"/>
      <c r="F322" s="555"/>
      <c r="G322" s="555"/>
      <c r="H322" s="555"/>
      <c r="I322" s="555"/>
      <c r="J322" s="555"/>
      <c r="K322" s="555"/>
      <c r="L322" s="555"/>
    </row>
    <row r="323" spans="2:12" ht="20.100000000000001" customHeight="1" x14ac:dyDescent="0.25">
      <c r="B323" s="537"/>
      <c r="C323" s="266"/>
      <c r="D323" s="537"/>
      <c r="E323" s="537"/>
      <c r="F323" s="537"/>
      <c r="G323" s="266"/>
      <c r="H323" s="266"/>
      <c r="I323" s="266"/>
      <c r="J323" s="537"/>
      <c r="K323" s="537"/>
      <c r="L323" s="533"/>
    </row>
    <row r="324" spans="2:12" ht="20.100000000000001" customHeight="1" x14ac:dyDescent="0.25">
      <c r="B324" s="537"/>
      <c r="C324" s="266"/>
      <c r="D324" s="266"/>
      <c r="E324" s="266"/>
      <c r="F324" s="266"/>
      <c r="G324" s="266"/>
      <c r="H324" s="266"/>
      <c r="I324" s="266"/>
      <c r="J324" s="537"/>
      <c r="K324" s="537"/>
      <c r="L324" s="533"/>
    </row>
    <row r="325" spans="2:12" ht="20.100000000000001" customHeight="1" x14ac:dyDescent="0.25">
      <c r="B325" s="222"/>
      <c r="C325" s="198"/>
      <c r="D325" s="198"/>
      <c r="E325" s="223"/>
      <c r="F325" s="33"/>
      <c r="G325" s="300"/>
      <c r="H325" s="300"/>
      <c r="I325" s="300"/>
      <c r="J325" s="300"/>
      <c r="K325" s="301"/>
      <c r="L325" s="300"/>
    </row>
    <row r="326" spans="2:12" ht="20.100000000000001" customHeight="1" x14ac:dyDescent="0.25">
      <c r="B326" s="222"/>
      <c r="C326" s="198"/>
      <c r="D326" s="198"/>
      <c r="E326" s="223"/>
      <c r="F326" s="33"/>
      <c r="G326" s="300"/>
      <c r="H326" s="300"/>
      <c r="I326" s="300"/>
      <c r="J326" s="300"/>
      <c r="K326" s="300"/>
      <c r="L326" s="300"/>
    </row>
    <row r="327" spans="2:12" ht="20.100000000000001" customHeight="1" x14ac:dyDescent="0.25">
      <c r="B327" s="222"/>
      <c r="C327" s="198"/>
      <c r="D327" s="198"/>
      <c r="E327" s="223"/>
      <c r="F327" s="33"/>
      <c r="G327" s="300"/>
      <c r="H327" s="300"/>
      <c r="I327" s="300"/>
      <c r="J327" s="300"/>
      <c r="K327" s="300"/>
      <c r="L327" s="300"/>
    </row>
    <row r="328" spans="2:12" ht="20.100000000000001" customHeight="1" x14ac:dyDescent="0.25">
      <c r="B328" s="222"/>
      <c r="C328" s="198"/>
      <c r="D328" s="198"/>
      <c r="E328" s="223"/>
      <c r="F328" s="33"/>
      <c r="G328" s="300"/>
      <c r="H328" s="300"/>
      <c r="I328" s="300"/>
      <c r="J328" s="300"/>
      <c r="K328" s="300"/>
      <c r="L328" s="300"/>
    </row>
    <row r="329" spans="2:12" ht="20.100000000000001" customHeight="1" x14ac:dyDescent="0.25">
      <c r="B329" s="222"/>
      <c r="C329" s="198"/>
      <c r="D329" s="198"/>
      <c r="E329" s="223"/>
      <c r="F329" s="33"/>
      <c r="G329" s="300"/>
      <c r="H329" s="300"/>
      <c r="I329" s="300"/>
      <c r="J329" s="300"/>
      <c r="K329" s="300"/>
      <c r="L329" s="300"/>
    </row>
    <row r="330" spans="2:12" ht="20.100000000000001" customHeight="1" x14ac:dyDescent="0.25">
      <c r="B330" s="222"/>
      <c r="C330" s="198"/>
      <c r="D330" s="198"/>
      <c r="E330" s="223"/>
      <c r="F330" s="33"/>
      <c r="G330" s="300"/>
      <c r="H330" s="300"/>
      <c r="I330" s="300"/>
      <c r="J330" s="300"/>
      <c r="K330" s="300"/>
      <c r="L330" s="300"/>
    </row>
    <row r="331" spans="2:12" ht="20.100000000000001" customHeight="1" x14ac:dyDescent="0.25">
      <c r="B331" s="222"/>
      <c r="C331" s="198"/>
      <c r="D331" s="198"/>
      <c r="E331" s="223"/>
      <c r="F331" s="33"/>
      <c r="G331" s="300"/>
      <c r="H331" s="300"/>
      <c r="I331" s="300"/>
      <c r="J331" s="300"/>
      <c r="K331" s="300"/>
      <c r="L331" s="300"/>
    </row>
    <row r="332" spans="2:12" ht="20.100000000000001" customHeight="1" x14ac:dyDescent="0.25">
      <c r="B332" s="222"/>
      <c r="C332" s="198"/>
      <c r="D332" s="198"/>
      <c r="E332" s="223"/>
      <c r="F332" s="33"/>
      <c r="G332" s="300"/>
      <c r="H332" s="300"/>
      <c r="I332" s="300"/>
      <c r="J332" s="300"/>
      <c r="K332" s="300"/>
      <c r="L332" s="300"/>
    </row>
    <row r="333" spans="2:12" ht="20.100000000000001" customHeight="1" x14ac:dyDescent="0.25">
      <c r="B333" s="222"/>
      <c r="C333" s="198"/>
      <c r="D333" s="198"/>
      <c r="E333" s="223"/>
      <c r="F333" s="33"/>
      <c r="G333" s="300"/>
      <c r="H333" s="300"/>
      <c r="I333" s="300"/>
      <c r="J333" s="300"/>
      <c r="K333" s="300"/>
      <c r="L333" s="300"/>
    </row>
    <row r="334" spans="2:12" ht="20.100000000000001" customHeight="1" x14ac:dyDescent="0.25">
      <c r="B334" s="222"/>
      <c r="C334" s="198"/>
      <c r="D334" s="198"/>
      <c r="E334" s="223"/>
      <c r="F334" s="33"/>
      <c r="G334" s="300"/>
      <c r="H334" s="300"/>
      <c r="I334" s="300"/>
      <c r="J334" s="300"/>
      <c r="K334" s="300"/>
      <c r="L334" s="300"/>
    </row>
    <row r="335" spans="2:12" ht="20.100000000000001" customHeight="1" x14ac:dyDescent="0.25">
      <c r="B335" s="222"/>
      <c r="C335" s="198"/>
      <c r="D335" s="198"/>
      <c r="E335" s="223"/>
      <c r="F335" s="33"/>
      <c r="G335" s="300"/>
      <c r="H335" s="300"/>
      <c r="I335" s="300"/>
      <c r="J335" s="300"/>
      <c r="K335" s="300"/>
      <c r="L335" s="300"/>
    </row>
    <row r="336" spans="2:12" ht="20.100000000000001" customHeight="1" x14ac:dyDescent="0.25">
      <c r="B336" s="222"/>
      <c r="C336" s="198"/>
      <c r="D336" s="198"/>
      <c r="E336" s="223"/>
      <c r="F336" s="33"/>
      <c r="G336" s="300"/>
      <c r="H336" s="300"/>
      <c r="I336" s="300"/>
      <c r="J336" s="300"/>
      <c r="K336" s="300"/>
      <c r="L336" s="300"/>
    </row>
    <row r="337" spans="2:15" ht="20.100000000000001" customHeight="1" x14ac:dyDescent="0.25">
      <c r="B337" s="222"/>
      <c r="C337" s="198"/>
      <c r="D337" s="198"/>
      <c r="E337" s="223"/>
      <c r="F337" s="33"/>
      <c r="G337" s="300"/>
      <c r="H337" s="300"/>
      <c r="I337" s="300"/>
      <c r="J337" s="300"/>
      <c r="K337" s="300"/>
      <c r="L337" s="300"/>
    </row>
    <row r="338" spans="2:15" ht="20.100000000000001" customHeight="1" x14ac:dyDescent="0.25">
      <c r="B338" s="222"/>
      <c r="C338" s="198"/>
      <c r="D338" s="198"/>
      <c r="E338" s="223"/>
      <c r="F338" s="33"/>
      <c r="G338" s="300"/>
      <c r="H338" s="300"/>
      <c r="I338" s="300"/>
      <c r="J338" s="300"/>
      <c r="K338" s="300"/>
      <c r="L338" s="300"/>
    </row>
    <row r="339" spans="2:15" ht="20.100000000000001" customHeight="1" x14ac:dyDescent="0.25">
      <c r="B339" s="222"/>
      <c r="C339" s="198"/>
      <c r="D339" s="198"/>
      <c r="E339" s="223"/>
      <c r="F339" s="33"/>
      <c r="G339" s="300"/>
      <c r="H339" s="300"/>
      <c r="I339" s="300"/>
      <c r="J339" s="300"/>
      <c r="K339" s="300"/>
      <c r="L339" s="300"/>
    </row>
    <row r="340" spans="2:15" ht="20.100000000000001" customHeight="1" x14ac:dyDescent="0.25">
      <c r="B340" s="222"/>
      <c r="C340" s="198"/>
      <c r="D340" s="198"/>
      <c r="E340" s="223"/>
      <c r="F340" s="33"/>
      <c r="G340" s="300"/>
      <c r="H340" s="300"/>
      <c r="I340" s="300"/>
      <c r="J340" s="300"/>
      <c r="K340" s="300"/>
      <c r="L340" s="300"/>
    </row>
    <row r="341" spans="2:15" ht="20.100000000000001" customHeight="1" x14ac:dyDescent="0.25">
      <c r="B341" s="222"/>
      <c r="C341" s="198"/>
      <c r="D341" s="198"/>
      <c r="E341" s="223"/>
      <c r="F341" s="33"/>
      <c r="G341" s="300"/>
      <c r="H341" s="300"/>
      <c r="I341" s="300"/>
      <c r="J341" s="300"/>
      <c r="K341" s="300"/>
      <c r="L341" s="300"/>
    </row>
    <row r="342" spans="2:15" ht="20.100000000000001" customHeight="1" x14ac:dyDescent="0.25">
      <c r="B342" s="222"/>
      <c r="C342" s="198"/>
      <c r="D342" s="198"/>
      <c r="E342" s="223"/>
      <c r="F342" s="33"/>
      <c r="G342" s="300"/>
      <c r="H342" s="300"/>
      <c r="I342" s="300"/>
      <c r="J342" s="300"/>
      <c r="K342" s="300"/>
      <c r="L342" s="300"/>
    </row>
    <row r="343" spans="2:15" ht="20.100000000000001" customHeight="1" x14ac:dyDescent="0.25">
      <c r="B343" s="222"/>
      <c r="C343" s="198"/>
      <c r="D343" s="198"/>
      <c r="E343" s="223"/>
      <c r="F343" s="33"/>
      <c r="G343" s="300"/>
      <c r="H343" s="300"/>
      <c r="I343" s="300"/>
      <c r="J343" s="300"/>
      <c r="K343" s="300"/>
      <c r="L343" s="300"/>
    </row>
    <row r="344" spans="2:15" ht="45" customHeight="1" x14ac:dyDescent="0.25">
      <c r="B344" s="640"/>
      <c r="C344" s="640"/>
      <c r="D344" s="640"/>
      <c r="E344" s="640"/>
      <c r="F344" s="640"/>
      <c r="G344" s="640"/>
      <c r="H344" s="640"/>
      <c r="I344" s="33"/>
      <c r="J344" s="33"/>
      <c r="K344" s="198"/>
      <c r="L344" s="267"/>
    </row>
    <row r="345" spans="2:15" ht="30" customHeight="1" x14ac:dyDescent="0.25">
      <c r="B345" s="199"/>
      <c r="C345" s="199"/>
      <c r="D345" s="199"/>
      <c r="E345" s="199"/>
      <c r="F345" s="199"/>
      <c r="G345" s="199"/>
      <c r="H345" s="199"/>
      <c r="I345" s="33"/>
      <c r="J345" s="33"/>
      <c r="K345" s="198"/>
      <c r="L345" s="267"/>
      <c r="M345" s="145"/>
      <c r="N345" s="145"/>
      <c r="O345" s="145"/>
    </row>
    <row r="346" spans="2:15" ht="20.100000000000001" customHeight="1" x14ac:dyDescent="0.25">
      <c r="B346" s="555"/>
      <c r="C346" s="555"/>
      <c r="D346" s="555"/>
      <c r="E346" s="555"/>
      <c r="F346" s="555"/>
      <c r="G346" s="555"/>
      <c r="H346" s="555"/>
      <c r="I346" s="555"/>
      <c r="J346" s="555"/>
      <c r="K346" s="555"/>
      <c r="L346" s="555"/>
    </row>
    <row r="347" spans="2:15" ht="20.100000000000001" customHeight="1" x14ac:dyDescent="0.25">
      <c r="B347" s="555"/>
      <c r="C347" s="555"/>
      <c r="D347" s="555"/>
      <c r="E347" s="555"/>
      <c r="F347" s="555"/>
      <c r="G347" s="555"/>
      <c r="H347" s="555"/>
      <c r="I347" s="555"/>
      <c r="J347" s="555"/>
      <c r="K347" s="555"/>
      <c r="L347" s="555"/>
    </row>
    <row r="348" spans="2:15" ht="20.100000000000001" customHeight="1" x14ac:dyDescent="0.25">
      <c r="B348" s="537"/>
      <c r="C348" s="266"/>
      <c r="D348" s="537"/>
      <c r="E348" s="537"/>
      <c r="F348" s="537"/>
      <c r="G348" s="266"/>
      <c r="H348" s="266"/>
      <c r="I348" s="266"/>
      <c r="J348" s="537"/>
      <c r="K348" s="537"/>
      <c r="L348" s="533"/>
    </row>
    <row r="349" spans="2:15" ht="20.100000000000001" customHeight="1" x14ac:dyDescent="0.25">
      <c r="B349" s="537"/>
      <c r="C349" s="266"/>
      <c r="D349" s="266"/>
      <c r="E349" s="266"/>
      <c r="F349" s="266"/>
      <c r="G349" s="266"/>
      <c r="H349" s="266"/>
      <c r="I349" s="266"/>
      <c r="J349" s="537"/>
      <c r="K349" s="537"/>
      <c r="L349" s="533"/>
    </row>
    <row r="350" spans="2:15" ht="20.100000000000001" customHeight="1" x14ac:dyDescent="0.25">
      <c r="B350" s="222"/>
      <c r="C350" s="198"/>
      <c r="D350" s="198"/>
      <c r="E350" s="223"/>
      <c r="F350" s="33"/>
      <c r="G350" s="300"/>
      <c r="H350" s="300"/>
      <c r="I350" s="300"/>
      <c r="J350" s="300"/>
      <c r="K350" s="301"/>
      <c r="L350" s="300"/>
    </row>
    <row r="351" spans="2:15" ht="20.100000000000001" customHeight="1" x14ac:dyDescent="0.25">
      <c r="B351" s="222"/>
      <c r="C351" s="198"/>
      <c r="D351" s="198"/>
      <c r="E351" s="223"/>
      <c r="F351" s="33"/>
      <c r="G351" s="300"/>
      <c r="H351" s="300"/>
      <c r="I351" s="300"/>
      <c r="J351" s="300"/>
      <c r="K351" s="300"/>
      <c r="L351" s="300"/>
    </row>
    <row r="352" spans="2:15" ht="20.100000000000001" customHeight="1" x14ac:dyDescent="0.25">
      <c r="B352" s="222"/>
      <c r="C352" s="198"/>
      <c r="D352" s="198"/>
      <c r="E352" s="223"/>
      <c r="F352" s="33"/>
      <c r="G352" s="300"/>
      <c r="H352" s="300"/>
      <c r="I352" s="300"/>
      <c r="J352" s="300"/>
      <c r="K352" s="300"/>
      <c r="L352" s="300"/>
    </row>
    <row r="353" spans="2:12" ht="20.100000000000001" customHeight="1" x14ac:dyDescent="0.25">
      <c r="B353" s="222"/>
      <c r="C353" s="198"/>
      <c r="D353" s="198"/>
      <c r="E353" s="223"/>
      <c r="F353" s="33"/>
      <c r="G353" s="300"/>
      <c r="H353" s="300"/>
      <c r="I353" s="300"/>
      <c r="J353" s="300"/>
      <c r="K353" s="300"/>
      <c r="L353" s="300"/>
    </row>
    <row r="354" spans="2:12" ht="20.100000000000001" customHeight="1" x14ac:dyDescent="0.25">
      <c r="B354" s="222"/>
      <c r="C354" s="198"/>
      <c r="D354" s="198"/>
      <c r="E354" s="223"/>
      <c r="F354" s="33"/>
      <c r="G354" s="300"/>
      <c r="H354" s="300"/>
      <c r="I354" s="300"/>
      <c r="J354" s="300"/>
      <c r="K354" s="300"/>
      <c r="L354" s="300"/>
    </row>
    <row r="355" spans="2:12" ht="20.100000000000001" customHeight="1" x14ac:dyDescent="0.25">
      <c r="B355" s="222"/>
      <c r="C355" s="198"/>
      <c r="D355" s="198"/>
      <c r="E355" s="223"/>
      <c r="F355" s="33"/>
      <c r="G355" s="300"/>
      <c r="H355" s="300"/>
      <c r="I355" s="300"/>
      <c r="J355" s="300"/>
      <c r="K355" s="300"/>
      <c r="L355" s="300"/>
    </row>
    <row r="356" spans="2:12" ht="20.100000000000001" customHeight="1" x14ac:dyDescent="0.25">
      <c r="B356" s="222"/>
      <c r="C356" s="198"/>
      <c r="D356" s="198"/>
      <c r="E356" s="223"/>
      <c r="F356" s="33"/>
      <c r="G356" s="300"/>
      <c r="H356" s="300"/>
      <c r="I356" s="300"/>
      <c r="J356" s="300"/>
      <c r="K356" s="300"/>
      <c r="L356" s="300"/>
    </row>
    <row r="357" spans="2:12" ht="20.100000000000001" customHeight="1" x14ac:dyDescent="0.25">
      <c r="B357" s="222"/>
      <c r="C357" s="198"/>
      <c r="D357" s="198"/>
      <c r="E357" s="223"/>
      <c r="F357" s="33"/>
      <c r="G357" s="300"/>
      <c r="H357" s="300"/>
      <c r="I357" s="300"/>
      <c r="J357" s="300"/>
      <c r="K357" s="300"/>
      <c r="L357" s="300"/>
    </row>
    <row r="358" spans="2:12" ht="20.100000000000001" customHeight="1" x14ac:dyDescent="0.25">
      <c r="B358" s="222"/>
      <c r="C358" s="198"/>
      <c r="D358" s="198"/>
      <c r="E358" s="223"/>
      <c r="F358" s="33"/>
      <c r="G358" s="300"/>
      <c r="H358" s="300"/>
      <c r="I358" s="300"/>
      <c r="J358" s="300"/>
      <c r="K358" s="300"/>
      <c r="L358" s="300"/>
    </row>
    <row r="359" spans="2:12" ht="20.100000000000001" customHeight="1" x14ac:dyDescent="0.25">
      <c r="B359" s="222"/>
      <c r="C359" s="198"/>
      <c r="D359" s="198"/>
      <c r="E359" s="223"/>
      <c r="F359" s="33"/>
      <c r="G359" s="300"/>
      <c r="H359" s="300"/>
      <c r="I359" s="300"/>
      <c r="J359" s="300"/>
      <c r="K359" s="300"/>
      <c r="L359" s="300"/>
    </row>
    <row r="360" spans="2:12" ht="20.100000000000001" customHeight="1" x14ac:dyDescent="0.25">
      <c r="B360" s="222"/>
      <c r="C360" s="198"/>
      <c r="D360" s="198"/>
      <c r="E360" s="223"/>
      <c r="F360" s="33"/>
      <c r="G360" s="300"/>
      <c r="H360" s="300"/>
      <c r="I360" s="300"/>
      <c r="J360" s="300"/>
      <c r="K360" s="300"/>
      <c r="L360" s="300"/>
    </row>
    <row r="361" spans="2:12" ht="20.100000000000001" customHeight="1" x14ac:dyDescent="0.25">
      <c r="B361" s="222"/>
      <c r="C361" s="198"/>
      <c r="D361" s="198"/>
      <c r="E361" s="223"/>
      <c r="F361" s="33"/>
      <c r="G361" s="300"/>
      <c r="H361" s="300"/>
      <c r="I361" s="300"/>
      <c r="J361" s="300"/>
      <c r="K361" s="300"/>
      <c r="L361" s="300"/>
    </row>
    <row r="362" spans="2:12" ht="20.100000000000001" customHeight="1" x14ac:dyDescent="0.25">
      <c r="B362" s="222"/>
      <c r="C362" s="198"/>
      <c r="D362" s="198"/>
      <c r="E362" s="223"/>
      <c r="F362" s="33"/>
      <c r="G362" s="300"/>
      <c r="H362" s="300"/>
      <c r="I362" s="300"/>
      <c r="J362" s="300"/>
      <c r="K362" s="300"/>
      <c r="L362" s="300"/>
    </row>
    <row r="363" spans="2:12" ht="20.100000000000001" customHeight="1" x14ac:dyDescent="0.25">
      <c r="B363" s="222"/>
      <c r="C363" s="198"/>
      <c r="D363" s="198"/>
      <c r="E363" s="223"/>
      <c r="F363" s="33"/>
      <c r="G363" s="300"/>
      <c r="H363" s="300"/>
      <c r="I363" s="300"/>
      <c r="J363" s="300"/>
      <c r="K363" s="300"/>
      <c r="L363" s="300"/>
    </row>
    <row r="364" spans="2:12" ht="20.100000000000001" customHeight="1" x14ac:dyDescent="0.25">
      <c r="B364" s="222"/>
      <c r="C364" s="198"/>
      <c r="D364" s="198"/>
      <c r="E364" s="223"/>
      <c r="F364" s="33"/>
      <c r="G364" s="300"/>
      <c r="H364" s="300"/>
      <c r="I364" s="300"/>
      <c r="J364" s="300"/>
      <c r="K364" s="300"/>
      <c r="L364" s="300"/>
    </row>
    <row r="365" spans="2:12" ht="20.100000000000001" customHeight="1" x14ac:dyDescent="0.25">
      <c r="B365" s="222"/>
      <c r="C365" s="198"/>
      <c r="D365" s="198"/>
      <c r="E365" s="223"/>
      <c r="F365" s="33"/>
      <c r="G365" s="300"/>
      <c r="H365" s="300"/>
      <c r="I365" s="300"/>
      <c r="J365" s="300"/>
      <c r="K365" s="300"/>
      <c r="L365" s="300"/>
    </row>
    <row r="366" spans="2:12" ht="20.100000000000001" customHeight="1" x14ac:dyDescent="0.25">
      <c r="B366" s="222"/>
      <c r="C366" s="198"/>
      <c r="D366" s="198"/>
      <c r="E366" s="223"/>
      <c r="F366" s="33"/>
      <c r="G366" s="300"/>
      <c r="H366" s="300"/>
      <c r="I366" s="300"/>
      <c r="J366" s="300"/>
      <c r="K366" s="300"/>
      <c r="L366" s="300"/>
    </row>
    <row r="367" spans="2:12" ht="20.100000000000001" customHeight="1" x14ac:dyDescent="0.25">
      <c r="B367" s="222"/>
      <c r="C367" s="198"/>
      <c r="D367" s="198"/>
      <c r="E367" s="223"/>
      <c r="F367" s="33"/>
      <c r="G367" s="300"/>
      <c r="H367" s="300"/>
      <c r="I367" s="300"/>
      <c r="J367" s="300"/>
      <c r="K367" s="300"/>
      <c r="L367" s="300"/>
    </row>
    <row r="368" spans="2:12" ht="20.100000000000001" customHeight="1" x14ac:dyDescent="0.25">
      <c r="B368" s="222"/>
      <c r="C368" s="198"/>
      <c r="D368" s="198"/>
      <c r="E368" s="223"/>
      <c r="F368" s="33"/>
      <c r="G368" s="300"/>
      <c r="H368" s="300"/>
      <c r="I368" s="300"/>
      <c r="J368" s="300"/>
      <c r="K368" s="300"/>
      <c r="L368" s="300"/>
    </row>
    <row r="369" spans="2:15" ht="45" customHeight="1" x14ac:dyDescent="0.25">
      <c r="B369" s="640"/>
      <c r="C369" s="640"/>
      <c r="D369" s="640"/>
      <c r="E369" s="640"/>
      <c r="F369" s="640"/>
      <c r="G369" s="640"/>
      <c r="H369" s="640"/>
      <c r="I369" s="33"/>
      <c r="J369" s="33"/>
      <c r="K369" s="198"/>
      <c r="L369" s="267"/>
    </row>
    <row r="370" spans="2:15" ht="18.75" x14ac:dyDescent="0.25">
      <c r="B370" s="199"/>
      <c r="C370" s="199"/>
      <c r="D370" s="199"/>
      <c r="E370" s="199"/>
      <c r="F370" s="199"/>
      <c r="G370" s="199"/>
      <c r="H370" s="199"/>
      <c r="I370" s="33"/>
      <c r="J370" s="33"/>
      <c r="K370" s="198"/>
      <c r="L370" s="267"/>
      <c r="M370" s="145"/>
      <c r="N370" s="145"/>
      <c r="O370" s="145"/>
    </row>
    <row r="371" spans="2:15" ht="20.100000000000001" customHeight="1" x14ac:dyDescent="0.25">
      <c r="B371" s="555"/>
      <c r="C371" s="555"/>
      <c r="D371" s="555"/>
      <c r="E371" s="555"/>
      <c r="F371" s="555"/>
      <c r="G371" s="555"/>
      <c r="H371" s="555"/>
      <c r="I371" s="555"/>
      <c r="J371" s="555"/>
      <c r="K371" s="555"/>
      <c r="L371" s="555"/>
    </row>
    <row r="372" spans="2:15" ht="20.100000000000001" customHeight="1" x14ac:dyDescent="0.25">
      <c r="B372" s="555"/>
      <c r="C372" s="555"/>
      <c r="D372" s="555"/>
      <c r="E372" s="555"/>
      <c r="F372" s="555"/>
      <c r="G372" s="555"/>
      <c r="H372" s="555"/>
      <c r="I372" s="555"/>
      <c r="J372" s="555"/>
      <c r="K372" s="555"/>
      <c r="L372" s="555"/>
    </row>
    <row r="373" spans="2:15" ht="20.100000000000001" customHeight="1" x14ac:dyDescent="0.25">
      <c r="B373" s="537"/>
      <c r="C373" s="266"/>
      <c r="D373" s="537"/>
      <c r="E373" s="537"/>
      <c r="F373" s="537"/>
      <c r="G373" s="266"/>
      <c r="H373" s="266"/>
      <c r="I373" s="266"/>
      <c r="J373" s="537"/>
      <c r="K373" s="537"/>
      <c r="L373" s="533"/>
    </row>
    <row r="374" spans="2:15" ht="20.100000000000001" customHeight="1" x14ac:dyDescent="0.25">
      <c r="B374" s="537"/>
      <c r="C374" s="266"/>
      <c r="D374" s="266"/>
      <c r="E374" s="266"/>
      <c r="F374" s="266"/>
      <c r="G374" s="266"/>
      <c r="H374" s="266"/>
      <c r="I374" s="266"/>
      <c r="J374" s="537"/>
      <c r="K374" s="537"/>
      <c r="L374" s="533"/>
    </row>
    <row r="375" spans="2:15" ht="20.100000000000001" customHeight="1" x14ac:dyDescent="0.25">
      <c r="B375" s="222"/>
      <c r="C375" s="198"/>
      <c r="D375" s="198"/>
      <c r="E375" s="223"/>
      <c r="F375" s="33"/>
      <c r="G375" s="300"/>
      <c r="H375" s="300"/>
      <c r="I375" s="300"/>
      <c r="J375" s="300"/>
      <c r="K375" s="301"/>
      <c r="L375" s="300"/>
    </row>
    <row r="376" spans="2:15" ht="20.100000000000001" customHeight="1" x14ac:dyDescent="0.25">
      <c r="B376" s="222"/>
      <c r="C376" s="198"/>
      <c r="D376" s="198"/>
      <c r="E376" s="223"/>
      <c r="F376" s="33"/>
      <c r="G376" s="300"/>
      <c r="H376" s="300"/>
      <c r="I376" s="300"/>
      <c r="J376" s="300"/>
      <c r="K376" s="300"/>
      <c r="L376" s="300"/>
    </row>
    <row r="377" spans="2:15" ht="20.100000000000001" customHeight="1" x14ac:dyDescent="0.25">
      <c r="B377" s="222"/>
      <c r="C377" s="198"/>
      <c r="D377" s="198"/>
      <c r="E377" s="223"/>
      <c r="F377" s="33"/>
      <c r="G377" s="300"/>
      <c r="H377" s="300"/>
      <c r="I377" s="300"/>
      <c r="J377" s="300"/>
      <c r="K377" s="300"/>
      <c r="L377" s="300"/>
    </row>
    <row r="378" spans="2:15" ht="20.100000000000001" customHeight="1" x14ac:dyDescent="0.25">
      <c r="B378" s="222"/>
      <c r="C378" s="198"/>
      <c r="D378" s="198"/>
      <c r="E378" s="223"/>
      <c r="F378" s="33"/>
      <c r="G378" s="300"/>
      <c r="H378" s="300"/>
      <c r="I378" s="300"/>
      <c r="J378" s="300"/>
      <c r="K378" s="300"/>
      <c r="L378" s="300"/>
    </row>
    <row r="379" spans="2:15" ht="20.100000000000001" customHeight="1" x14ac:dyDescent="0.25">
      <c r="B379" s="222"/>
      <c r="C379" s="198"/>
      <c r="D379" s="198"/>
      <c r="E379" s="223"/>
      <c r="F379" s="33"/>
      <c r="G379" s="300"/>
      <c r="H379" s="300"/>
      <c r="I379" s="300"/>
      <c r="J379" s="300"/>
      <c r="K379" s="300"/>
      <c r="L379" s="300"/>
    </row>
    <row r="380" spans="2:15" ht="20.100000000000001" customHeight="1" x14ac:dyDescent="0.25">
      <c r="B380" s="222"/>
      <c r="C380" s="198"/>
      <c r="D380" s="198"/>
      <c r="E380" s="223"/>
      <c r="F380" s="33"/>
      <c r="G380" s="300"/>
      <c r="H380" s="300"/>
      <c r="I380" s="300"/>
      <c r="J380" s="300"/>
      <c r="K380" s="300"/>
      <c r="L380" s="300"/>
    </row>
    <row r="381" spans="2:15" ht="20.100000000000001" customHeight="1" x14ac:dyDescent="0.25">
      <c r="B381" s="222"/>
      <c r="C381" s="198"/>
      <c r="D381" s="198"/>
      <c r="E381" s="223"/>
      <c r="F381" s="33"/>
      <c r="G381" s="300"/>
      <c r="H381" s="300"/>
      <c r="I381" s="300"/>
      <c r="J381" s="300"/>
      <c r="K381" s="300"/>
      <c r="L381" s="300"/>
    </row>
    <row r="382" spans="2:15" ht="20.100000000000001" customHeight="1" x14ac:dyDescent="0.25">
      <c r="B382" s="222"/>
      <c r="C382" s="198"/>
      <c r="D382" s="198"/>
      <c r="E382" s="223"/>
      <c r="F382" s="33"/>
      <c r="G382" s="300"/>
      <c r="H382" s="300"/>
      <c r="I382" s="300"/>
      <c r="J382" s="300"/>
      <c r="K382" s="300"/>
      <c r="L382" s="300"/>
    </row>
    <row r="383" spans="2:15" ht="20.100000000000001" customHeight="1" x14ac:dyDescent="0.25">
      <c r="B383" s="222"/>
      <c r="C383" s="198"/>
      <c r="D383" s="198"/>
      <c r="E383" s="223"/>
      <c r="F383" s="33"/>
      <c r="G383" s="300"/>
      <c r="H383" s="300"/>
      <c r="I383" s="300"/>
      <c r="J383" s="300"/>
      <c r="K383" s="300"/>
      <c r="L383" s="300"/>
    </row>
    <row r="384" spans="2:15" ht="20.100000000000001" customHeight="1" x14ac:dyDescent="0.25">
      <c r="B384" s="222"/>
      <c r="C384" s="198"/>
      <c r="D384" s="198"/>
      <c r="E384" s="223"/>
      <c r="F384" s="33"/>
      <c r="G384" s="300"/>
      <c r="H384" s="300"/>
      <c r="I384" s="300"/>
      <c r="J384" s="300"/>
      <c r="K384" s="300"/>
      <c r="L384" s="300"/>
    </row>
    <row r="385" spans="2:15" ht="20.100000000000001" customHeight="1" x14ac:dyDescent="0.25">
      <c r="B385" s="222"/>
      <c r="C385" s="198"/>
      <c r="D385" s="198"/>
      <c r="E385" s="223"/>
      <c r="F385" s="33"/>
      <c r="G385" s="300"/>
      <c r="H385" s="300"/>
      <c r="I385" s="300"/>
      <c r="J385" s="300"/>
      <c r="K385" s="300"/>
      <c r="L385" s="300"/>
    </row>
    <row r="386" spans="2:15" ht="20.100000000000001" customHeight="1" x14ac:dyDescent="0.25">
      <c r="B386" s="222"/>
      <c r="C386" s="198"/>
      <c r="D386" s="198"/>
      <c r="E386" s="223"/>
      <c r="F386" s="33"/>
      <c r="G386" s="300"/>
      <c r="H386" s="300"/>
      <c r="I386" s="300"/>
      <c r="J386" s="300"/>
      <c r="K386" s="300"/>
      <c r="L386" s="300"/>
    </row>
    <row r="387" spans="2:15" ht="20.100000000000001" customHeight="1" x14ac:dyDescent="0.25">
      <c r="B387" s="222"/>
      <c r="C387" s="198"/>
      <c r="D387" s="198"/>
      <c r="E387" s="223"/>
      <c r="F387" s="33"/>
      <c r="G387" s="300"/>
      <c r="H387" s="300"/>
      <c r="I387" s="300"/>
      <c r="J387" s="300"/>
      <c r="K387" s="300"/>
      <c r="L387" s="300"/>
    </row>
    <row r="388" spans="2:15" ht="20.100000000000001" customHeight="1" x14ac:dyDescent="0.25">
      <c r="B388" s="222"/>
      <c r="C388" s="198"/>
      <c r="D388" s="198"/>
      <c r="E388" s="223"/>
      <c r="F388" s="33"/>
      <c r="G388" s="300"/>
      <c r="H388" s="300"/>
      <c r="I388" s="300"/>
      <c r="J388" s="300"/>
      <c r="K388" s="300"/>
      <c r="L388" s="300"/>
    </row>
    <row r="389" spans="2:15" ht="20.100000000000001" customHeight="1" x14ac:dyDescent="0.25">
      <c r="B389" s="222"/>
      <c r="C389" s="198"/>
      <c r="D389" s="198"/>
      <c r="E389" s="223"/>
      <c r="F389" s="33"/>
      <c r="G389" s="300"/>
      <c r="H389" s="300"/>
      <c r="I389" s="300"/>
      <c r="J389" s="300"/>
      <c r="K389" s="300"/>
      <c r="L389" s="300"/>
    </row>
    <row r="390" spans="2:15" ht="20.100000000000001" customHeight="1" x14ac:dyDescent="0.25">
      <c r="B390" s="222"/>
      <c r="C390" s="198"/>
      <c r="D390" s="198"/>
      <c r="E390" s="223"/>
      <c r="F390" s="33"/>
      <c r="G390" s="300"/>
      <c r="H390" s="300"/>
      <c r="I390" s="300"/>
      <c r="J390" s="300"/>
      <c r="K390" s="300"/>
      <c r="L390" s="300"/>
    </row>
    <row r="391" spans="2:15" ht="20.100000000000001" customHeight="1" x14ac:dyDescent="0.25">
      <c r="B391" s="222"/>
      <c r="C391" s="198"/>
      <c r="D391" s="198"/>
      <c r="E391" s="223"/>
      <c r="F391" s="33"/>
      <c r="G391" s="300"/>
      <c r="H391" s="300"/>
      <c r="I391" s="300"/>
      <c r="J391" s="300"/>
      <c r="K391" s="300"/>
      <c r="L391" s="300"/>
    </row>
    <row r="392" spans="2:15" ht="20.100000000000001" customHeight="1" x14ac:dyDescent="0.25">
      <c r="B392" s="222"/>
      <c r="C392" s="198"/>
      <c r="D392" s="198"/>
      <c r="E392" s="223"/>
      <c r="F392" s="33"/>
      <c r="G392" s="300"/>
      <c r="H392" s="300"/>
      <c r="I392" s="300"/>
      <c r="J392" s="300"/>
      <c r="K392" s="300"/>
      <c r="L392" s="300"/>
    </row>
    <row r="393" spans="2:15" ht="20.100000000000001" customHeight="1" x14ac:dyDescent="0.25">
      <c r="B393" s="222"/>
      <c r="C393" s="198"/>
      <c r="D393" s="198"/>
      <c r="E393" s="223"/>
      <c r="F393" s="33"/>
      <c r="G393" s="300"/>
      <c r="H393" s="300"/>
      <c r="I393" s="300"/>
      <c r="J393" s="300"/>
      <c r="K393" s="300"/>
      <c r="L393" s="300"/>
    </row>
    <row r="394" spans="2:15" ht="45" customHeight="1" x14ac:dyDescent="0.25">
      <c r="B394" s="640"/>
      <c r="C394" s="640"/>
      <c r="D394" s="640"/>
      <c r="E394" s="640"/>
      <c r="F394" s="640"/>
      <c r="G394" s="640"/>
      <c r="H394" s="640"/>
      <c r="I394" s="33"/>
      <c r="J394" s="33"/>
      <c r="K394" s="198"/>
      <c r="L394" s="267"/>
    </row>
    <row r="395" spans="2:15" ht="18.75" x14ac:dyDescent="0.25">
      <c r="B395" s="199"/>
      <c r="C395" s="199"/>
      <c r="D395" s="199"/>
      <c r="E395" s="199"/>
      <c r="F395" s="199"/>
      <c r="G395" s="199"/>
      <c r="H395" s="199"/>
      <c r="I395" s="33"/>
      <c r="J395" s="33"/>
      <c r="K395" s="198"/>
      <c r="L395" s="267"/>
      <c r="M395" s="145"/>
      <c r="N395" s="145"/>
      <c r="O395" s="145"/>
    </row>
    <row r="396" spans="2:15" ht="20.100000000000001" customHeight="1" x14ac:dyDescent="0.25">
      <c r="B396" s="555"/>
      <c r="C396" s="555"/>
      <c r="D396" s="555"/>
      <c r="E396" s="555"/>
      <c r="F396" s="555"/>
      <c r="G396" s="555"/>
      <c r="H396" s="555"/>
      <c r="I396" s="555"/>
      <c r="J396" s="555"/>
      <c r="K396" s="555"/>
      <c r="L396" s="555"/>
    </row>
    <row r="397" spans="2:15" ht="20.100000000000001" customHeight="1" x14ac:dyDescent="0.25">
      <c r="B397" s="555"/>
      <c r="C397" s="555"/>
      <c r="D397" s="555"/>
      <c r="E397" s="555"/>
      <c r="F397" s="555"/>
      <c r="G397" s="555"/>
      <c r="H397" s="555"/>
      <c r="I397" s="555"/>
      <c r="J397" s="555"/>
      <c r="K397" s="555"/>
      <c r="L397" s="555"/>
    </row>
    <row r="398" spans="2:15" ht="20.100000000000001" customHeight="1" x14ac:dyDescent="0.25">
      <c r="B398" s="537"/>
      <c r="C398" s="266"/>
      <c r="D398" s="537"/>
      <c r="E398" s="537"/>
      <c r="F398" s="537"/>
      <c r="G398" s="266"/>
      <c r="H398" s="266"/>
      <c r="I398" s="266"/>
      <c r="J398" s="537"/>
      <c r="K398" s="537"/>
      <c r="L398" s="533"/>
    </row>
    <row r="399" spans="2:15" ht="20.100000000000001" customHeight="1" x14ac:dyDescent="0.25">
      <c r="B399" s="537"/>
      <c r="C399" s="266"/>
      <c r="D399" s="266"/>
      <c r="E399" s="266"/>
      <c r="F399" s="266"/>
      <c r="G399" s="266"/>
      <c r="H399" s="266"/>
      <c r="I399" s="266"/>
      <c r="J399" s="537"/>
      <c r="K399" s="537"/>
      <c r="L399" s="533"/>
    </row>
    <row r="400" spans="2:15" ht="20.100000000000001" customHeight="1" x14ac:dyDescent="0.25">
      <c r="B400" s="222"/>
      <c r="C400" s="198"/>
      <c r="D400" s="198"/>
      <c r="E400" s="223"/>
      <c r="F400" s="33"/>
      <c r="G400" s="300"/>
      <c r="H400" s="300"/>
      <c r="I400" s="300"/>
      <c r="J400" s="300"/>
      <c r="K400" s="301"/>
      <c r="L400" s="300"/>
    </row>
    <row r="401" spans="2:12" ht="20.100000000000001" customHeight="1" x14ac:dyDescent="0.25">
      <c r="B401" s="222"/>
      <c r="C401" s="198"/>
      <c r="D401" s="198"/>
      <c r="E401" s="223"/>
      <c r="F401" s="33"/>
      <c r="G401" s="300"/>
      <c r="H401" s="300"/>
      <c r="I401" s="300"/>
      <c r="J401" s="300"/>
      <c r="K401" s="300"/>
      <c r="L401" s="300"/>
    </row>
    <row r="402" spans="2:12" ht="20.100000000000001" customHeight="1" x14ac:dyDescent="0.25">
      <c r="B402" s="222"/>
      <c r="C402" s="198"/>
      <c r="D402" s="198"/>
      <c r="E402" s="223"/>
      <c r="F402" s="33"/>
      <c r="G402" s="300"/>
      <c r="H402" s="300"/>
      <c r="I402" s="300"/>
      <c r="J402" s="300"/>
      <c r="K402" s="300"/>
      <c r="L402" s="300"/>
    </row>
    <row r="403" spans="2:12" ht="20.100000000000001" customHeight="1" x14ac:dyDescent="0.25">
      <c r="B403" s="222"/>
      <c r="C403" s="198"/>
      <c r="D403" s="198"/>
      <c r="E403" s="223"/>
      <c r="F403" s="33"/>
      <c r="G403" s="300"/>
      <c r="H403" s="300"/>
      <c r="I403" s="300"/>
      <c r="J403" s="300"/>
      <c r="K403" s="300"/>
      <c r="L403" s="300"/>
    </row>
    <row r="404" spans="2:12" ht="20.100000000000001" customHeight="1" x14ac:dyDescent="0.25">
      <c r="B404" s="222"/>
      <c r="C404" s="198"/>
      <c r="D404" s="198"/>
      <c r="E404" s="223"/>
      <c r="F404" s="33"/>
      <c r="G404" s="300"/>
      <c r="H404" s="300"/>
      <c r="I404" s="300"/>
      <c r="J404" s="300"/>
      <c r="K404" s="300"/>
      <c r="L404" s="300"/>
    </row>
    <row r="405" spans="2:12" ht="20.100000000000001" customHeight="1" x14ac:dyDescent="0.25">
      <c r="B405" s="222"/>
      <c r="C405" s="198"/>
      <c r="D405" s="198"/>
      <c r="E405" s="223"/>
      <c r="F405" s="33"/>
      <c r="G405" s="300"/>
      <c r="H405" s="300"/>
      <c r="I405" s="300"/>
      <c r="J405" s="300"/>
      <c r="K405" s="300"/>
      <c r="L405" s="300"/>
    </row>
    <row r="406" spans="2:12" ht="20.100000000000001" customHeight="1" x14ac:dyDescent="0.25">
      <c r="B406" s="222"/>
      <c r="C406" s="198"/>
      <c r="D406" s="198"/>
      <c r="E406" s="223"/>
      <c r="F406" s="33"/>
      <c r="G406" s="300"/>
      <c r="H406" s="300"/>
      <c r="I406" s="300"/>
      <c r="J406" s="300"/>
      <c r="K406" s="300"/>
      <c r="L406" s="300"/>
    </row>
    <row r="407" spans="2:12" ht="20.100000000000001" customHeight="1" x14ac:dyDescent="0.25">
      <c r="B407" s="222"/>
      <c r="C407" s="198"/>
      <c r="D407" s="198"/>
      <c r="E407" s="223"/>
      <c r="F407" s="33"/>
      <c r="G407" s="300"/>
      <c r="H407" s="300"/>
      <c r="I407" s="300"/>
      <c r="J407" s="300"/>
      <c r="K407" s="300"/>
      <c r="L407" s="300"/>
    </row>
    <row r="408" spans="2:12" ht="20.100000000000001" customHeight="1" x14ac:dyDescent="0.25">
      <c r="B408" s="222"/>
      <c r="C408" s="198"/>
      <c r="D408" s="198"/>
      <c r="E408" s="223"/>
      <c r="F408" s="33"/>
      <c r="G408" s="300"/>
      <c r="H408" s="300"/>
      <c r="I408" s="300"/>
      <c r="J408" s="300"/>
      <c r="K408" s="300"/>
      <c r="L408" s="300"/>
    </row>
    <row r="409" spans="2:12" ht="20.100000000000001" customHeight="1" x14ac:dyDescent="0.25">
      <c r="B409" s="222"/>
      <c r="C409" s="198"/>
      <c r="D409" s="198"/>
      <c r="E409" s="223"/>
      <c r="F409" s="33"/>
      <c r="G409" s="300"/>
      <c r="H409" s="300"/>
      <c r="I409" s="300"/>
      <c r="J409" s="300"/>
      <c r="K409" s="300"/>
      <c r="L409" s="300"/>
    </row>
    <row r="410" spans="2:12" ht="20.100000000000001" customHeight="1" x14ac:dyDescent="0.25">
      <c r="B410" s="222"/>
      <c r="C410" s="198"/>
      <c r="D410" s="198"/>
      <c r="E410" s="223"/>
      <c r="F410" s="33"/>
      <c r="G410" s="300"/>
      <c r="H410" s="300"/>
      <c r="I410" s="300"/>
      <c r="J410" s="300"/>
      <c r="K410" s="300"/>
      <c r="L410" s="300"/>
    </row>
    <row r="411" spans="2:12" ht="20.100000000000001" customHeight="1" x14ac:dyDescent="0.25">
      <c r="B411" s="222"/>
      <c r="C411" s="198"/>
      <c r="D411" s="198"/>
      <c r="E411" s="223"/>
      <c r="F411" s="33"/>
      <c r="G411" s="300"/>
      <c r="H411" s="300"/>
      <c r="I411" s="300"/>
      <c r="J411" s="300"/>
      <c r="K411" s="300"/>
      <c r="L411" s="300"/>
    </row>
    <row r="412" spans="2:12" ht="20.100000000000001" customHeight="1" x14ac:dyDescent="0.25">
      <c r="B412" s="222"/>
      <c r="C412" s="198"/>
      <c r="D412" s="198"/>
      <c r="E412" s="223"/>
      <c r="F412" s="33"/>
      <c r="G412" s="300"/>
      <c r="H412" s="300"/>
      <c r="I412" s="300"/>
      <c r="J412" s="300"/>
      <c r="K412" s="300"/>
      <c r="L412" s="300"/>
    </row>
    <row r="413" spans="2:12" ht="20.100000000000001" customHeight="1" x14ac:dyDescent="0.25">
      <c r="B413" s="222"/>
      <c r="C413" s="198"/>
      <c r="D413" s="198"/>
      <c r="E413" s="223"/>
      <c r="F413" s="33"/>
      <c r="G413" s="300"/>
      <c r="H413" s="300"/>
      <c r="I413" s="300"/>
      <c r="J413" s="300"/>
      <c r="K413" s="300"/>
      <c r="L413" s="300"/>
    </row>
    <row r="414" spans="2:12" ht="20.100000000000001" customHeight="1" x14ac:dyDescent="0.25">
      <c r="B414" s="222"/>
      <c r="C414" s="198"/>
      <c r="D414" s="198"/>
      <c r="E414" s="223"/>
      <c r="F414" s="33"/>
      <c r="G414" s="300"/>
      <c r="H414" s="300"/>
      <c r="I414" s="300"/>
      <c r="J414" s="300"/>
      <c r="K414" s="300"/>
      <c r="L414" s="300"/>
    </row>
    <row r="415" spans="2:12" ht="20.100000000000001" customHeight="1" x14ac:dyDescent="0.25">
      <c r="B415" s="222"/>
      <c r="C415" s="198"/>
      <c r="D415" s="198"/>
      <c r="E415" s="223"/>
      <c r="F415" s="33"/>
      <c r="G415" s="300"/>
      <c r="H415" s="300"/>
      <c r="I415" s="300"/>
      <c r="J415" s="300"/>
      <c r="K415" s="300"/>
      <c r="L415" s="300"/>
    </row>
    <row r="416" spans="2:12" ht="20.100000000000001" customHeight="1" x14ac:dyDescent="0.25">
      <c r="B416" s="222"/>
      <c r="C416" s="198"/>
      <c r="D416" s="198"/>
      <c r="E416" s="223"/>
      <c r="F416" s="33"/>
      <c r="G416" s="300"/>
      <c r="H416" s="300"/>
      <c r="I416" s="300"/>
      <c r="J416" s="300"/>
      <c r="K416" s="300"/>
      <c r="L416" s="300"/>
    </row>
    <row r="417" spans="2:15" ht="20.100000000000001" customHeight="1" x14ac:dyDescent="0.25">
      <c r="B417" s="222"/>
      <c r="C417" s="198"/>
      <c r="D417" s="198"/>
      <c r="E417" s="223"/>
      <c r="F417" s="33"/>
      <c r="G417" s="300"/>
      <c r="H417" s="300"/>
      <c r="I417" s="300"/>
      <c r="J417" s="300"/>
      <c r="K417" s="300"/>
      <c r="L417" s="300"/>
    </row>
    <row r="418" spans="2:15" ht="20.100000000000001" customHeight="1" x14ac:dyDescent="0.25">
      <c r="B418" s="222"/>
      <c r="C418" s="198"/>
      <c r="D418" s="198"/>
      <c r="E418" s="223"/>
      <c r="F418" s="33"/>
      <c r="G418" s="300"/>
      <c r="H418" s="300"/>
      <c r="I418" s="300"/>
      <c r="J418" s="300"/>
      <c r="K418" s="300"/>
      <c r="L418" s="300"/>
    </row>
    <row r="419" spans="2:15" ht="45" customHeight="1" x14ac:dyDescent="0.25">
      <c r="B419" s="640"/>
      <c r="C419" s="640"/>
      <c r="D419" s="640"/>
      <c r="E419" s="640"/>
      <c r="F419" s="640"/>
      <c r="G419" s="640"/>
      <c r="H419" s="640"/>
      <c r="I419" s="33"/>
      <c r="J419" s="33"/>
      <c r="K419" s="198"/>
      <c r="L419" s="267"/>
    </row>
    <row r="420" spans="2:15" ht="30" customHeight="1" x14ac:dyDescent="0.25">
      <c r="B420" s="199"/>
      <c r="C420" s="199"/>
      <c r="D420" s="199"/>
      <c r="E420" s="199"/>
      <c r="F420" s="199"/>
      <c r="G420" s="199"/>
      <c r="H420" s="199"/>
      <c r="I420" s="33"/>
      <c r="J420" s="33"/>
      <c r="K420" s="198"/>
      <c r="L420" s="267"/>
      <c r="M420" s="145"/>
      <c r="N420" s="145"/>
      <c r="O420" s="145"/>
    </row>
    <row r="421" spans="2:15" ht="20.100000000000001" customHeight="1" x14ac:dyDescent="0.25">
      <c r="B421" s="555"/>
      <c r="C421" s="555"/>
      <c r="D421" s="555"/>
      <c r="E421" s="555"/>
      <c r="F421" s="555"/>
      <c r="G421" s="555"/>
      <c r="H421" s="555"/>
      <c r="I421" s="555"/>
      <c r="J421" s="555"/>
      <c r="K421" s="555"/>
      <c r="L421" s="555"/>
    </row>
    <row r="422" spans="2:15" ht="20.100000000000001" customHeight="1" x14ac:dyDescent="0.25">
      <c r="B422" s="555"/>
      <c r="C422" s="555"/>
      <c r="D422" s="555"/>
      <c r="E422" s="555"/>
      <c r="F422" s="555"/>
      <c r="G422" s="555"/>
      <c r="H422" s="555"/>
      <c r="I422" s="555"/>
      <c r="J422" s="555"/>
      <c r="K422" s="555"/>
      <c r="L422" s="555"/>
    </row>
    <row r="423" spans="2:15" ht="20.100000000000001" customHeight="1" x14ac:dyDescent="0.25">
      <c r="B423" s="537"/>
      <c r="C423" s="266"/>
      <c r="D423" s="537"/>
      <c r="E423" s="537"/>
      <c r="F423" s="537"/>
      <c r="G423" s="266"/>
      <c r="H423" s="266"/>
      <c r="I423" s="266"/>
      <c r="J423" s="537"/>
      <c r="K423" s="537"/>
      <c r="L423" s="533"/>
    </row>
    <row r="424" spans="2:15" ht="20.100000000000001" customHeight="1" x14ac:dyDescent="0.25">
      <c r="B424" s="537"/>
      <c r="C424" s="266"/>
      <c r="D424" s="266"/>
      <c r="E424" s="266"/>
      <c r="F424" s="266"/>
      <c r="G424" s="266"/>
      <c r="H424" s="266"/>
      <c r="I424" s="266"/>
      <c r="J424" s="537"/>
      <c r="K424" s="537"/>
      <c r="L424" s="533"/>
    </row>
    <row r="425" spans="2:15" ht="20.100000000000001" customHeight="1" x14ac:dyDescent="0.25">
      <c r="B425" s="222"/>
      <c r="C425" s="198"/>
      <c r="D425" s="198"/>
      <c r="E425" s="223"/>
      <c r="F425" s="33"/>
      <c r="G425" s="300"/>
      <c r="H425" s="300"/>
      <c r="I425" s="300"/>
      <c r="J425" s="300"/>
      <c r="K425" s="301"/>
      <c r="L425" s="300"/>
    </row>
    <row r="426" spans="2:15" ht="20.100000000000001" customHeight="1" x14ac:dyDescent="0.25">
      <c r="B426" s="222"/>
      <c r="C426" s="198"/>
      <c r="D426" s="198"/>
      <c r="E426" s="223"/>
      <c r="F426" s="33"/>
      <c r="G426" s="300"/>
      <c r="H426" s="300"/>
      <c r="I426" s="300"/>
      <c r="J426" s="300"/>
      <c r="K426" s="300"/>
      <c r="L426" s="300"/>
    </row>
    <row r="427" spans="2:15" ht="20.100000000000001" customHeight="1" x14ac:dyDescent="0.25">
      <c r="B427" s="222"/>
      <c r="C427" s="198"/>
      <c r="D427" s="198"/>
      <c r="E427" s="223"/>
      <c r="F427" s="33"/>
      <c r="G427" s="300"/>
      <c r="H427" s="300"/>
      <c r="I427" s="300"/>
      <c r="J427" s="300"/>
      <c r="K427" s="300"/>
      <c r="L427" s="300"/>
    </row>
    <row r="428" spans="2:15" ht="20.100000000000001" customHeight="1" x14ac:dyDescent="0.25">
      <c r="B428" s="222"/>
      <c r="C428" s="198"/>
      <c r="D428" s="198"/>
      <c r="E428" s="223"/>
      <c r="F428" s="33"/>
      <c r="G428" s="300"/>
      <c r="H428" s="300"/>
      <c r="I428" s="300"/>
      <c r="J428" s="300"/>
      <c r="K428" s="300"/>
      <c r="L428" s="300"/>
    </row>
    <row r="429" spans="2:15" ht="20.100000000000001" customHeight="1" x14ac:dyDescent="0.25">
      <c r="B429" s="222"/>
      <c r="C429" s="198"/>
      <c r="D429" s="198"/>
      <c r="E429" s="223"/>
      <c r="F429" s="33"/>
      <c r="G429" s="300"/>
      <c r="H429" s="300"/>
      <c r="I429" s="300"/>
      <c r="J429" s="300"/>
      <c r="K429" s="300"/>
      <c r="L429" s="300"/>
    </row>
    <row r="430" spans="2:15" ht="20.100000000000001" customHeight="1" x14ac:dyDescent="0.25">
      <c r="B430" s="222"/>
      <c r="C430" s="198"/>
      <c r="D430" s="198"/>
      <c r="E430" s="223"/>
      <c r="F430" s="33"/>
      <c r="G430" s="300"/>
      <c r="H430" s="300"/>
      <c r="I430" s="300"/>
      <c r="J430" s="300"/>
      <c r="K430" s="300"/>
      <c r="L430" s="300"/>
    </row>
    <row r="431" spans="2:15" ht="20.100000000000001" customHeight="1" x14ac:dyDescent="0.25">
      <c r="B431" s="222"/>
      <c r="C431" s="198"/>
      <c r="D431" s="198"/>
      <c r="E431" s="223"/>
      <c r="F431" s="33"/>
      <c r="G431" s="300"/>
      <c r="H431" s="300"/>
      <c r="I431" s="300"/>
      <c r="J431" s="300"/>
      <c r="K431" s="300"/>
      <c r="L431" s="300"/>
    </row>
    <row r="432" spans="2:15" ht="20.100000000000001" customHeight="1" x14ac:dyDescent="0.25">
      <c r="B432" s="222"/>
      <c r="C432" s="198"/>
      <c r="D432" s="198"/>
      <c r="E432" s="223"/>
      <c r="F432" s="33"/>
      <c r="G432" s="300"/>
      <c r="H432" s="300"/>
      <c r="I432" s="300"/>
      <c r="J432" s="300"/>
      <c r="K432" s="300"/>
      <c r="L432" s="300"/>
    </row>
    <row r="433" spans="2:15" ht="20.100000000000001" customHeight="1" x14ac:dyDescent="0.25">
      <c r="B433" s="222"/>
      <c r="C433" s="198"/>
      <c r="D433" s="198"/>
      <c r="E433" s="223"/>
      <c r="F433" s="33"/>
      <c r="G433" s="300"/>
      <c r="H433" s="300"/>
      <c r="I433" s="300"/>
      <c r="J433" s="300"/>
      <c r="K433" s="300"/>
      <c r="L433" s="300"/>
    </row>
    <row r="434" spans="2:15" ht="20.100000000000001" customHeight="1" x14ac:dyDescent="0.25">
      <c r="B434" s="222"/>
      <c r="C434" s="198"/>
      <c r="D434" s="198"/>
      <c r="E434" s="223"/>
      <c r="F434" s="33"/>
      <c r="G434" s="300"/>
      <c r="H434" s="300"/>
      <c r="I434" s="300"/>
      <c r="J434" s="300"/>
      <c r="K434" s="300"/>
      <c r="L434" s="300"/>
    </row>
    <row r="435" spans="2:15" ht="20.100000000000001" customHeight="1" x14ac:dyDescent="0.25">
      <c r="B435" s="222"/>
      <c r="C435" s="198"/>
      <c r="D435" s="198"/>
      <c r="E435" s="223"/>
      <c r="F435" s="33"/>
      <c r="G435" s="300"/>
      <c r="H435" s="300"/>
      <c r="I435" s="300"/>
      <c r="J435" s="300"/>
      <c r="K435" s="300"/>
      <c r="L435" s="300"/>
    </row>
    <row r="436" spans="2:15" ht="20.100000000000001" customHeight="1" x14ac:dyDescent="0.25">
      <c r="B436" s="222"/>
      <c r="C436" s="198"/>
      <c r="D436" s="198"/>
      <c r="E436" s="223"/>
      <c r="F436" s="33"/>
      <c r="G436" s="300"/>
      <c r="H436" s="300"/>
      <c r="I436" s="300"/>
      <c r="J436" s="300"/>
      <c r="K436" s="300"/>
      <c r="L436" s="300"/>
    </row>
    <row r="437" spans="2:15" ht="20.100000000000001" customHeight="1" x14ac:dyDescent="0.25">
      <c r="B437" s="222"/>
      <c r="C437" s="198"/>
      <c r="D437" s="198"/>
      <c r="E437" s="223"/>
      <c r="F437" s="33"/>
      <c r="G437" s="300"/>
      <c r="H437" s="300"/>
      <c r="I437" s="300"/>
      <c r="J437" s="300"/>
      <c r="K437" s="300"/>
      <c r="L437" s="300"/>
    </row>
    <row r="438" spans="2:15" ht="20.100000000000001" customHeight="1" x14ac:dyDescent="0.25">
      <c r="B438" s="222"/>
      <c r="C438" s="198"/>
      <c r="D438" s="198"/>
      <c r="E438" s="223"/>
      <c r="F438" s="33"/>
      <c r="G438" s="300"/>
      <c r="H438" s="300"/>
      <c r="I438" s="300"/>
      <c r="J438" s="300"/>
      <c r="K438" s="300"/>
      <c r="L438" s="300"/>
    </row>
    <row r="439" spans="2:15" ht="20.100000000000001" customHeight="1" x14ac:dyDescent="0.25">
      <c r="B439" s="222"/>
      <c r="C439" s="198"/>
      <c r="D439" s="198"/>
      <c r="E439" s="223"/>
      <c r="F439" s="33"/>
      <c r="G439" s="300"/>
      <c r="H439" s="300"/>
      <c r="I439" s="300"/>
      <c r="J439" s="300"/>
      <c r="K439" s="300"/>
      <c r="L439" s="300"/>
    </row>
    <row r="440" spans="2:15" ht="20.100000000000001" customHeight="1" x14ac:dyDescent="0.25">
      <c r="B440" s="222"/>
      <c r="C440" s="198"/>
      <c r="D440" s="198"/>
      <c r="E440" s="223"/>
      <c r="F440" s="33"/>
      <c r="G440" s="300"/>
      <c r="H440" s="300"/>
      <c r="I440" s="300"/>
      <c r="J440" s="300"/>
      <c r="K440" s="300"/>
      <c r="L440" s="300"/>
    </row>
    <row r="441" spans="2:15" ht="20.100000000000001" customHeight="1" x14ac:dyDescent="0.25">
      <c r="B441" s="222"/>
      <c r="C441" s="198"/>
      <c r="D441" s="198"/>
      <c r="E441" s="223"/>
      <c r="F441" s="33"/>
      <c r="G441" s="300"/>
      <c r="H441" s="300"/>
      <c r="I441" s="300"/>
      <c r="J441" s="300"/>
      <c r="K441" s="300"/>
      <c r="L441" s="300"/>
    </row>
    <row r="442" spans="2:15" ht="20.100000000000001" customHeight="1" x14ac:dyDescent="0.25">
      <c r="B442" s="222"/>
      <c r="C442" s="198"/>
      <c r="D442" s="198"/>
      <c r="E442" s="223"/>
      <c r="F442" s="33"/>
      <c r="G442" s="300"/>
      <c r="H442" s="300"/>
      <c r="I442" s="300"/>
      <c r="J442" s="300"/>
      <c r="K442" s="300"/>
      <c r="L442" s="300"/>
    </row>
    <row r="443" spans="2:15" ht="20.100000000000001" customHeight="1" x14ac:dyDescent="0.25">
      <c r="B443" s="222"/>
      <c r="C443" s="198"/>
      <c r="D443" s="198"/>
      <c r="E443" s="223"/>
      <c r="F443" s="33"/>
      <c r="G443" s="300"/>
      <c r="H443" s="300"/>
      <c r="I443" s="300"/>
      <c r="J443" s="300"/>
      <c r="K443" s="300"/>
      <c r="L443" s="300"/>
    </row>
    <row r="444" spans="2:15" ht="45" customHeight="1" x14ac:dyDescent="0.25">
      <c r="B444" s="640"/>
      <c r="C444" s="640"/>
      <c r="D444" s="640"/>
      <c r="E444" s="640"/>
      <c r="F444" s="640"/>
      <c r="G444" s="640"/>
      <c r="H444" s="640"/>
      <c r="I444" s="33"/>
      <c r="J444" s="33"/>
      <c r="K444" s="198"/>
      <c r="L444" s="267"/>
    </row>
    <row r="445" spans="2:15" ht="30" customHeight="1" x14ac:dyDescent="0.25">
      <c r="B445" s="199"/>
      <c r="C445" s="199"/>
      <c r="D445" s="199"/>
      <c r="E445" s="199"/>
      <c r="F445" s="199"/>
      <c r="G445" s="199"/>
      <c r="H445" s="199"/>
      <c r="I445" s="33"/>
      <c r="J445" s="33"/>
      <c r="K445" s="198"/>
      <c r="L445" s="267"/>
      <c r="M445" s="145"/>
      <c r="N445" s="145"/>
      <c r="O445" s="145"/>
    </row>
    <row r="446" spans="2:15" ht="20.100000000000001" customHeight="1" x14ac:dyDescent="0.25">
      <c r="B446" s="555"/>
      <c r="C446" s="555"/>
      <c r="D446" s="555"/>
      <c r="E446" s="555"/>
      <c r="F446" s="555"/>
      <c r="G446" s="555"/>
      <c r="H446" s="555"/>
      <c r="I446" s="555"/>
      <c r="J446" s="555"/>
      <c r="K446" s="555"/>
      <c r="L446" s="555"/>
    </row>
    <row r="447" spans="2:15" ht="20.100000000000001" customHeight="1" x14ac:dyDescent="0.25">
      <c r="B447" s="555"/>
      <c r="C447" s="555"/>
      <c r="D447" s="555"/>
      <c r="E447" s="555"/>
      <c r="F447" s="555"/>
      <c r="G447" s="555"/>
      <c r="H447" s="555"/>
      <c r="I447" s="555"/>
      <c r="J447" s="555"/>
      <c r="K447" s="555"/>
      <c r="L447" s="555"/>
    </row>
    <row r="448" spans="2:15" ht="20.100000000000001" customHeight="1" x14ac:dyDescent="0.25">
      <c r="B448" s="537"/>
      <c r="C448" s="266"/>
      <c r="D448" s="537"/>
      <c r="E448" s="537"/>
      <c r="F448" s="537"/>
      <c r="G448" s="266"/>
      <c r="H448" s="266"/>
      <c r="I448" s="266"/>
      <c r="J448" s="537"/>
      <c r="K448" s="537"/>
      <c r="L448" s="533"/>
    </row>
    <row r="449" spans="2:12" ht="20.100000000000001" customHeight="1" x14ac:dyDescent="0.25">
      <c r="B449" s="537"/>
      <c r="C449" s="266"/>
      <c r="D449" s="266"/>
      <c r="E449" s="266"/>
      <c r="F449" s="266"/>
      <c r="G449" s="266"/>
      <c r="H449" s="266"/>
      <c r="I449" s="266"/>
      <c r="J449" s="537"/>
      <c r="K449" s="537"/>
      <c r="L449" s="533"/>
    </row>
    <row r="450" spans="2:12" ht="20.100000000000001" customHeight="1" x14ac:dyDescent="0.25">
      <c r="B450" s="222"/>
      <c r="C450" s="198"/>
      <c r="D450" s="198"/>
      <c r="E450" s="223"/>
      <c r="F450" s="33"/>
      <c r="G450" s="300"/>
      <c r="H450" s="300"/>
      <c r="I450" s="300"/>
      <c r="J450" s="300"/>
      <c r="K450" s="301"/>
      <c r="L450" s="300"/>
    </row>
    <row r="451" spans="2:12" ht="20.100000000000001" customHeight="1" x14ac:dyDescent="0.25">
      <c r="B451" s="222"/>
      <c r="C451" s="198"/>
      <c r="D451" s="198"/>
      <c r="E451" s="223"/>
      <c r="F451" s="33"/>
      <c r="G451" s="300"/>
      <c r="H451" s="300"/>
      <c r="I451" s="300"/>
      <c r="J451" s="300"/>
      <c r="K451" s="300"/>
      <c r="L451" s="300"/>
    </row>
    <row r="452" spans="2:12" ht="20.100000000000001" customHeight="1" x14ac:dyDescent="0.25">
      <c r="B452" s="222"/>
      <c r="C452" s="198"/>
      <c r="D452" s="198"/>
      <c r="E452" s="223"/>
      <c r="F452" s="33"/>
      <c r="G452" s="300"/>
      <c r="H452" s="300"/>
      <c r="I452" s="300"/>
      <c r="J452" s="300"/>
      <c r="K452" s="300"/>
      <c r="L452" s="300"/>
    </row>
    <row r="453" spans="2:12" ht="20.100000000000001" customHeight="1" x14ac:dyDescent="0.25">
      <c r="B453" s="222"/>
      <c r="C453" s="198"/>
      <c r="D453" s="198"/>
      <c r="E453" s="223"/>
      <c r="F453" s="33"/>
      <c r="G453" s="300"/>
      <c r="H453" s="300"/>
      <c r="I453" s="300"/>
      <c r="J453" s="300"/>
      <c r="K453" s="300"/>
      <c r="L453" s="300"/>
    </row>
    <row r="454" spans="2:12" ht="20.100000000000001" customHeight="1" x14ac:dyDescent="0.25">
      <c r="B454" s="222"/>
      <c r="C454" s="198"/>
      <c r="D454" s="198"/>
      <c r="E454" s="223"/>
      <c r="F454" s="33"/>
      <c r="G454" s="300"/>
      <c r="H454" s="300"/>
      <c r="I454" s="300"/>
      <c r="J454" s="300"/>
      <c r="K454" s="300"/>
      <c r="L454" s="300"/>
    </row>
    <row r="455" spans="2:12" ht="20.100000000000001" customHeight="1" x14ac:dyDescent="0.25">
      <c r="B455" s="222"/>
      <c r="C455" s="198"/>
      <c r="D455" s="198"/>
      <c r="E455" s="223"/>
      <c r="F455" s="33"/>
      <c r="G455" s="300"/>
      <c r="H455" s="300"/>
      <c r="I455" s="300"/>
      <c r="J455" s="300"/>
      <c r="K455" s="300"/>
      <c r="L455" s="300"/>
    </row>
    <row r="456" spans="2:12" ht="20.100000000000001" customHeight="1" x14ac:dyDescent="0.25">
      <c r="B456" s="222"/>
      <c r="C456" s="198"/>
      <c r="D456" s="198"/>
      <c r="E456" s="223"/>
      <c r="F456" s="33"/>
      <c r="G456" s="300"/>
      <c r="H456" s="300"/>
      <c r="I456" s="300"/>
      <c r="J456" s="300"/>
      <c r="K456" s="300"/>
      <c r="L456" s="300"/>
    </row>
    <row r="457" spans="2:12" ht="20.100000000000001" customHeight="1" x14ac:dyDescent="0.25">
      <c r="B457" s="222"/>
      <c r="C457" s="198"/>
      <c r="D457" s="198"/>
      <c r="E457" s="223"/>
      <c r="F457" s="33"/>
      <c r="G457" s="300"/>
      <c r="H457" s="300"/>
      <c r="I457" s="300"/>
      <c r="J457" s="300"/>
      <c r="K457" s="300"/>
      <c r="L457" s="300"/>
    </row>
    <row r="458" spans="2:12" ht="20.100000000000001" customHeight="1" x14ac:dyDescent="0.25">
      <c r="B458" s="222"/>
      <c r="C458" s="198"/>
      <c r="D458" s="198"/>
      <c r="E458" s="223"/>
      <c r="F458" s="33"/>
      <c r="G458" s="300"/>
      <c r="H458" s="300"/>
      <c r="I458" s="300"/>
      <c r="J458" s="300"/>
      <c r="K458" s="300"/>
      <c r="L458" s="300"/>
    </row>
    <row r="459" spans="2:12" ht="20.100000000000001" customHeight="1" x14ac:dyDescent="0.25">
      <c r="B459" s="222"/>
      <c r="C459" s="198"/>
      <c r="D459" s="198"/>
      <c r="E459" s="223"/>
      <c r="F459" s="33"/>
      <c r="G459" s="300"/>
      <c r="H459" s="300"/>
      <c r="I459" s="300"/>
      <c r="J459" s="300"/>
      <c r="K459" s="300"/>
      <c r="L459" s="300"/>
    </row>
    <row r="460" spans="2:12" ht="20.100000000000001" customHeight="1" x14ac:dyDescent="0.25">
      <c r="B460" s="222"/>
      <c r="C460" s="198"/>
      <c r="D460" s="198"/>
      <c r="E460" s="223"/>
      <c r="F460" s="33"/>
      <c r="G460" s="300"/>
      <c r="H460" s="300"/>
      <c r="I460" s="300"/>
      <c r="J460" s="300"/>
      <c r="K460" s="300"/>
      <c r="L460" s="300"/>
    </row>
    <row r="461" spans="2:12" ht="20.100000000000001" customHeight="1" x14ac:dyDescent="0.25">
      <c r="B461" s="222"/>
      <c r="C461" s="198"/>
      <c r="D461" s="198"/>
      <c r="E461" s="223"/>
      <c r="F461" s="33"/>
      <c r="G461" s="300"/>
      <c r="H461" s="300"/>
      <c r="I461" s="300"/>
      <c r="J461" s="300"/>
      <c r="K461" s="300"/>
      <c r="L461" s="300"/>
    </row>
    <row r="462" spans="2:12" ht="20.100000000000001" customHeight="1" x14ac:dyDescent="0.25">
      <c r="B462" s="222"/>
      <c r="C462" s="198"/>
      <c r="D462" s="198"/>
      <c r="E462" s="223"/>
      <c r="F462" s="33"/>
      <c r="G462" s="300"/>
      <c r="H462" s="300"/>
      <c r="I462" s="300"/>
      <c r="J462" s="300"/>
      <c r="K462" s="300"/>
      <c r="L462" s="300"/>
    </row>
    <row r="463" spans="2:12" ht="20.100000000000001" customHeight="1" x14ac:dyDescent="0.25">
      <c r="B463" s="222"/>
      <c r="C463" s="198"/>
      <c r="D463" s="198"/>
      <c r="E463" s="223"/>
      <c r="F463" s="33"/>
      <c r="G463" s="300"/>
      <c r="H463" s="300"/>
      <c r="I463" s="300"/>
      <c r="J463" s="300"/>
      <c r="K463" s="300"/>
      <c r="L463" s="300"/>
    </row>
    <row r="464" spans="2:12" ht="20.100000000000001" customHeight="1" x14ac:dyDescent="0.25">
      <c r="B464" s="222"/>
      <c r="C464" s="198"/>
      <c r="D464" s="198"/>
      <c r="E464" s="223"/>
      <c r="F464" s="33"/>
      <c r="G464" s="300"/>
      <c r="H464" s="300"/>
      <c r="I464" s="300"/>
      <c r="J464" s="300"/>
      <c r="K464" s="300"/>
      <c r="L464" s="300"/>
    </row>
    <row r="465" spans="2:15" ht="20.100000000000001" customHeight="1" x14ac:dyDescent="0.25">
      <c r="B465" s="222"/>
      <c r="C465" s="198"/>
      <c r="D465" s="198"/>
      <c r="E465" s="223"/>
      <c r="F465" s="33"/>
      <c r="G465" s="300"/>
      <c r="H465" s="300"/>
      <c r="I465" s="300"/>
      <c r="J465" s="300"/>
      <c r="K465" s="300"/>
      <c r="L465" s="300"/>
    </row>
    <row r="466" spans="2:15" ht="20.100000000000001" customHeight="1" x14ac:dyDescent="0.25">
      <c r="B466" s="222"/>
      <c r="C466" s="198"/>
      <c r="D466" s="198"/>
      <c r="E466" s="223"/>
      <c r="F466" s="33"/>
      <c r="G466" s="300"/>
      <c r="H466" s="300"/>
      <c r="I466" s="300"/>
      <c r="J466" s="300"/>
      <c r="K466" s="300"/>
      <c r="L466" s="300"/>
    </row>
    <row r="467" spans="2:15" ht="20.100000000000001" customHeight="1" x14ac:dyDescent="0.25">
      <c r="B467" s="222"/>
      <c r="C467" s="198"/>
      <c r="D467" s="198"/>
      <c r="E467" s="223"/>
      <c r="F467" s="33"/>
      <c r="G467" s="300"/>
      <c r="H467" s="300"/>
      <c r="I467" s="300"/>
      <c r="J467" s="300"/>
      <c r="K467" s="300"/>
      <c r="L467" s="300"/>
    </row>
    <row r="468" spans="2:15" ht="20.100000000000001" customHeight="1" x14ac:dyDescent="0.25">
      <c r="B468" s="222"/>
      <c r="C468" s="198"/>
      <c r="D468" s="198"/>
      <c r="E468" s="223"/>
      <c r="F468" s="33"/>
      <c r="G468" s="300"/>
      <c r="H468" s="300"/>
      <c r="I468" s="300"/>
      <c r="J468" s="300"/>
      <c r="K468" s="300"/>
      <c r="L468" s="300"/>
    </row>
    <row r="469" spans="2:15" ht="45" customHeight="1" x14ac:dyDescent="0.25">
      <c r="B469" s="640"/>
      <c r="C469" s="640"/>
      <c r="D469" s="640"/>
      <c r="E469" s="640"/>
      <c r="F469" s="640"/>
      <c r="G469" s="640"/>
      <c r="H469" s="640"/>
      <c r="I469" s="33"/>
      <c r="J469" s="33"/>
      <c r="K469" s="198"/>
      <c r="L469" s="267"/>
    </row>
    <row r="470" spans="2:15" ht="18.75" x14ac:dyDescent="0.25">
      <c r="B470" s="199"/>
      <c r="C470" s="199"/>
      <c r="D470" s="199"/>
      <c r="E470" s="199"/>
      <c r="F470" s="199"/>
      <c r="G470" s="199"/>
      <c r="H470" s="199"/>
      <c r="I470" s="33"/>
      <c r="J470" s="33"/>
      <c r="K470" s="198"/>
      <c r="L470" s="145"/>
      <c r="M470" s="145"/>
      <c r="N470" s="145"/>
      <c r="O470" s="145"/>
    </row>
  </sheetData>
  <mergeCells count="163">
    <mergeCell ref="B53:H53"/>
    <mergeCell ref="B55:L56"/>
    <mergeCell ref="B57:B58"/>
    <mergeCell ref="D57:F57"/>
    <mergeCell ref="J57:J58"/>
    <mergeCell ref="K57:K58"/>
    <mergeCell ref="L57:L58"/>
    <mergeCell ref="B19:H19"/>
    <mergeCell ref="B2:L2"/>
    <mergeCell ref="B4:L5"/>
    <mergeCell ref="B6:B7"/>
    <mergeCell ref="D6:F6"/>
    <mergeCell ref="J6:J7"/>
    <mergeCell ref="K6:K7"/>
    <mergeCell ref="L6:L7"/>
    <mergeCell ref="B21:L22"/>
    <mergeCell ref="B23:B24"/>
    <mergeCell ref="D23:F23"/>
    <mergeCell ref="J23:J24"/>
    <mergeCell ref="K23:K24"/>
    <mergeCell ref="L23:L24"/>
    <mergeCell ref="B36:H36"/>
    <mergeCell ref="B38:L39"/>
    <mergeCell ref="B40:B41"/>
    <mergeCell ref="D40:F40"/>
    <mergeCell ref="J40:J41"/>
    <mergeCell ref="K40:K41"/>
    <mergeCell ref="L40:L41"/>
    <mergeCell ref="B189:H189"/>
    <mergeCell ref="B191:L192"/>
    <mergeCell ref="B193:B194"/>
    <mergeCell ref="D193:F193"/>
    <mergeCell ref="J193:J194"/>
    <mergeCell ref="K193:K194"/>
    <mergeCell ref="L193:L194"/>
    <mergeCell ref="D142:F142"/>
    <mergeCell ref="J142:J143"/>
    <mergeCell ref="K142:K143"/>
    <mergeCell ref="L142:L143"/>
    <mergeCell ref="B155:H155"/>
    <mergeCell ref="B157:L158"/>
    <mergeCell ref="B159:B160"/>
    <mergeCell ref="D159:F159"/>
    <mergeCell ref="J159:J160"/>
    <mergeCell ref="B142:B143"/>
    <mergeCell ref="K159:K160"/>
    <mergeCell ref="L159:L160"/>
    <mergeCell ref="B172:H172"/>
    <mergeCell ref="B174:L175"/>
    <mergeCell ref="B176:B177"/>
    <mergeCell ref="D176:F176"/>
    <mergeCell ref="J176:J177"/>
    <mergeCell ref="B294:H294"/>
    <mergeCell ref="B296:L297"/>
    <mergeCell ref="B298:B299"/>
    <mergeCell ref="D298:F298"/>
    <mergeCell ref="J298:J299"/>
    <mergeCell ref="K298:K299"/>
    <mergeCell ref="L298:L299"/>
    <mergeCell ref="B269:H269"/>
    <mergeCell ref="B271:L272"/>
    <mergeCell ref="B273:B274"/>
    <mergeCell ref="D273:F273"/>
    <mergeCell ref="J273:J274"/>
    <mergeCell ref="K273:K274"/>
    <mergeCell ref="L273:L274"/>
    <mergeCell ref="K176:K177"/>
    <mergeCell ref="L176:L177"/>
    <mergeCell ref="K244:K245"/>
    <mergeCell ref="L244:L245"/>
    <mergeCell ref="B257:H257"/>
    <mergeCell ref="B206:H206"/>
    <mergeCell ref="B344:H344"/>
    <mergeCell ref="B346:L347"/>
    <mergeCell ref="B348:B349"/>
    <mergeCell ref="D348:F348"/>
    <mergeCell ref="J348:J349"/>
    <mergeCell ref="K348:K349"/>
    <mergeCell ref="L348:L349"/>
    <mergeCell ref="B319:H319"/>
    <mergeCell ref="B321:L322"/>
    <mergeCell ref="B323:B324"/>
    <mergeCell ref="D323:F323"/>
    <mergeCell ref="J323:J324"/>
    <mergeCell ref="K323:K324"/>
    <mergeCell ref="L323:L324"/>
    <mergeCell ref="B394:H394"/>
    <mergeCell ref="B396:L397"/>
    <mergeCell ref="B398:B399"/>
    <mergeCell ref="D398:F398"/>
    <mergeCell ref="J398:J399"/>
    <mergeCell ref="K398:K399"/>
    <mergeCell ref="L398:L399"/>
    <mergeCell ref="B369:H369"/>
    <mergeCell ref="B371:L372"/>
    <mergeCell ref="B373:B374"/>
    <mergeCell ref="D373:F373"/>
    <mergeCell ref="J373:J374"/>
    <mergeCell ref="K373:K374"/>
    <mergeCell ref="L373:L374"/>
    <mergeCell ref="B469:H469"/>
    <mergeCell ref="B444:H444"/>
    <mergeCell ref="B446:L447"/>
    <mergeCell ref="B448:B449"/>
    <mergeCell ref="D448:F448"/>
    <mergeCell ref="J448:J449"/>
    <mergeCell ref="K448:K449"/>
    <mergeCell ref="L448:L449"/>
    <mergeCell ref="B419:H419"/>
    <mergeCell ref="B421:L422"/>
    <mergeCell ref="B423:B424"/>
    <mergeCell ref="D423:F423"/>
    <mergeCell ref="J423:J424"/>
    <mergeCell ref="K423:K424"/>
    <mergeCell ref="L423:L424"/>
    <mergeCell ref="B70:H70"/>
    <mergeCell ref="B72:L73"/>
    <mergeCell ref="B74:B75"/>
    <mergeCell ref="D74:F74"/>
    <mergeCell ref="J74:J75"/>
    <mergeCell ref="K74:K75"/>
    <mergeCell ref="L74:L75"/>
    <mergeCell ref="B87:H87"/>
    <mergeCell ref="B121:H121"/>
    <mergeCell ref="B123:L124"/>
    <mergeCell ref="B125:B126"/>
    <mergeCell ref="D125:F125"/>
    <mergeCell ref="J125:J126"/>
    <mergeCell ref="K125:K126"/>
    <mergeCell ref="L125:L126"/>
    <mergeCell ref="B138:H138"/>
    <mergeCell ref="B140:L141"/>
    <mergeCell ref="B89:L90"/>
    <mergeCell ref="B91:B92"/>
    <mergeCell ref="D91:F91"/>
    <mergeCell ref="J91:J92"/>
    <mergeCell ref="K91:K92"/>
    <mergeCell ref="L91:L92"/>
    <mergeCell ref="B104:H104"/>
    <mergeCell ref="B106:L107"/>
    <mergeCell ref="B108:B109"/>
    <mergeCell ref="D108:F108"/>
    <mergeCell ref="J108:J109"/>
    <mergeCell ref="K108:K109"/>
    <mergeCell ref="L108:L109"/>
    <mergeCell ref="B240:H240"/>
    <mergeCell ref="B242:L243"/>
    <mergeCell ref="B244:B245"/>
    <mergeCell ref="D244:F244"/>
    <mergeCell ref="J244:J245"/>
    <mergeCell ref="B208:L209"/>
    <mergeCell ref="B210:B211"/>
    <mergeCell ref="D210:F210"/>
    <mergeCell ref="J210:J211"/>
    <mergeCell ref="K210:K211"/>
    <mergeCell ref="L210:L211"/>
    <mergeCell ref="B223:H223"/>
    <mergeCell ref="B225:L226"/>
    <mergeCell ref="B227:B228"/>
    <mergeCell ref="D227:F227"/>
    <mergeCell ref="J227:J228"/>
    <mergeCell ref="K227:K228"/>
    <mergeCell ref="L227:L22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Proyección Población</vt:lpstr>
      <vt:lpstr>Dotaciones - Caudales</vt:lpstr>
      <vt:lpstr>Diseño</vt:lpstr>
      <vt:lpstr>Cotas Nodos</vt:lpstr>
      <vt:lpstr>Cotas Accesorios</vt:lpstr>
      <vt:lpstr>Sectorización</vt:lpstr>
      <vt:lpstr>Hipótesis de distribución</vt:lpstr>
      <vt:lpstr>Hardy-Cross</vt:lpstr>
      <vt:lpstr>Malla 1</vt:lpstr>
      <vt:lpstr>Malla 2</vt:lpstr>
      <vt:lpstr>Accesorios</vt:lpstr>
      <vt:lpstr>Resultados Definitivos</vt:lpstr>
      <vt:lpstr>Tablas</vt:lpstr>
      <vt:lpstr>Bomba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Infprma</dc:creator>
  <cp:lastModifiedBy>Jose Perez</cp:lastModifiedBy>
  <dcterms:created xsi:type="dcterms:W3CDTF">2018-02-17T22:16:06Z</dcterms:created>
  <dcterms:modified xsi:type="dcterms:W3CDTF">2019-02-04T02:07:56Z</dcterms:modified>
</cp:coreProperties>
</file>