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uliette.Sanchez\Downloads\Others\Project UD\"/>
    </mc:Choice>
  </mc:AlternateContent>
  <xr:revisionPtr revIDLastSave="0" documentId="13_ncr:1_{992F8B5E-E6B5-44AB-AFC5-7A4190B6ECED}" xr6:coauthVersionLast="47" xr6:coauthVersionMax="47" xr10:uidLastSave="{00000000-0000-0000-0000-000000000000}"/>
  <bookViews>
    <workbookView xWindow="-108" yWindow="-108" windowWidth="23256" windowHeight="12576" xr2:uid="{A1F17409-B090-412A-9E97-12D12AE0EB27}"/>
  </bookViews>
  <sheets>
    <sheet name="Análisis Financiero" sheetId="2" r:id="rId1"/>
    <sheet name="VPN" sheetId="4" r:id="rId2"/>
    <sheet name="Tasa Inflación" sheetId="6" r:id="rId3"/>
    <sheet name="Flujos" sheetId="9" r:id="rId4"/>
    <sheet name="Selección Oferente" sheetId="7" r:id="rId5"/>
  </sheets>
  <definedNames>
    <definedName name="_xlnm.Print_Area" localSheetId="0">'Análisis Financiero'!$A$1:$U$55</definedName>
    <definedName name="_xlnm.Print_Area" localSheetId="3">Flujos!$A$1:$F$57</definedName>
    <definedName name="_xlnm.Print_Area" localSheetId="1">VPN!$A$1:$F$47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54" i="2" l="1"/>
  <c r="L54" i="2"/>
  <c r="E54" i="2"/>
  <c r="L46" i="2"/>
  <c r="E46" i="2"/>
  <c r="S46" i="2"/>
  <c r="C43" i="9" l="1"/>
  <c r="D43" i="9" s="1"/>
  <c r="C27" i="9"/>
  <c r="D27" i="9"/>
  <c r="C11" i="9" l="1"/>
  <c r="D11" i="9" s="1"/>
  <c r="N38" i="2"/>
  <c r="B23" i="4" s="1"/>
  <c r="C10" i="6"/>
  <c r="B24" i="4"/>
  <c r="B22" i="4"/>
  <c r="U34" i="2" l="1"/>
  <c r="U33" i="2"/>
  <c r="T6" i="2"/>
  <c r="N37" i="2"/>
  <c r="M6" i="2"/>
  <c r="U31" i="2"/>
  <c r="N31" i="2"/>
  <c r="U27" i="2"/>
  <c r="U26" i="2"/>
  <c r="U25" i="2"/>
  <c r="U24" i="2"/>
  <c r="U23" i="2"/>
  <c r="U22" i="2"/>
  <c r="U21" i="2"/>
  <c r="U20" i="2"/>
  <c r="U19" i="2"/>
  <c r="U18" i="2"/>
  <c r="U17" i="2"/>
  <c r="U16" i="2"/>
  <c r="U15" i="2"/>
  <c r="U14" i="2"/>
  <c r="U13" i="2"/>
  <c r="U12" i="2"/>
  <c r="U11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M46" i="2"/>
  <c r="F46" i="2"/>
  <c r="F43" i="2"/>
  <c r="G31" i="2" l="1"/>
  <c r="T46" i="2"/>
  <c r="S36" i="2"/>
  <c r="L36" i="2"/>
  <c r="E36" i="2"/>
  <c r="N28" i="2"/>
  <c r="G22" i="2"/>
  <c r="G21" i="2"/>
  <c r="G20" i="2"/>
  <c r="G16" i="2"/>
  <c r="G15" i="2"/>
  <c r="U46" i="2" l="1"/>
  <c r="N46" i="2"/>
  <c r="G24" i="2" l="1"/>
  <c r="U47" i="2"/>
  <c r="U43" i="2"/>
  <c r="U44" i="2" s="1"/>
  <c r="S30" i="2"/>
  <c r="S8" i="2"/>
  <c r="U6" i="2"/>
  <c r="N47" i="2"/>
  <c r="N43" i="2"/>
  <c r="N44" i="2" s="1"/>
  <c r="N34" i="2"/>
  <c r="N33" i="2"/>
  <c r="L30" i="2"/>
  <c r="L8" i="2"/>
  <c r="N6" i="2"/>
  <c r="N8" i="2" s="1"/>
  <c r="G46" i="2"/>
  <c r="G47" i="2" s="1"/>
  <c r="G43" i="2"/>
  <c r="G44" i="2" s="1"/>
  <c r="G34" i="2"/>
  <c r="G33" i="2"/>
  <c r="E30" i="2"/>
  <c r="E8" i="2"/>
  <c r="G27" i="2"/>
  <c r="G26" i="2"/>
  <c r="G25" i="2"/>
  <c r="G23" i="2"/>
  <c r="G19" i="2"/>
  <c r="G18" i="2"/>
  <c r="G11" i="2"/>
  <c r="G12" i="2"/>
  <c r="G13" i="2"/>
  <c r="G14" i="2"/>
  <c r="G17" i="2"/>
  <c r="G6" i="2"/>
  <c r="N36" i="2" l="1"/>
  <c r="N48" i="2"/>
  <c r="G36" i="2"/>
  <c r="G37" i="2" s="1"/>
  <c r="U36" i="2"/>
  <c r="U37" i="2" s="1"/>
  <c r="G48" i="2"/>
  <c r="N30" i="2"/>
  <c r="U30" i="2"/>
  <c r="G30" i="2"/>
  <c r="U48" i="2"/>
  <c r="U8" i="2"/>
  <c r="U9" i="2" s="1"/>
  <c r="N9" i="2"/>
  <c r="G8" i="2"/>
  <c r="G9" i="2" s="1"/>
  <c r="C23" i="4" l="1"/>
  <c r="C24" i="4"/>
  <c r="C22" i="4"/>
  <c r="B12" i="9"/>
  <c r="B14" i="9"/>
  <c r="B16" i="9"/>
  <c r="B19" i="9"/>
  <c r="B21" i="9"/>
  <c r="B13" i="9"/>
  <c r="B17" i="9"/>
  <c r="B15" i="9"/>
  <c r="B18" i="9"/>
  <c r="B20" i="9"/>
  <c r="B46" i="9"/>
  <c r="B30" i="9"/>
  <c r="B28" i="9"/>
  <c r="B45" i="9"/>
  <c r="B44" i="9"/>
  <c r="B52" i="9"/>
  <c r="B33" i="9"/>
  <c r="B51" i="9"/>
  <c r="B37" i="9"/>
  <c r="B32" i="9"/>
  <c r="B29" i="9"/>
  <c r="B36" i="9"/>
  <c r="B31" i="9"/>
  <c r="B48" i="9"/>
  <c r="B35" i="9"/>
  <c r="B49" i="9"/>
  <c r="B34" i="9"/>
  <c r="B50" i="9"/>
  <c r="B53" i="9"/>
  <c r="B47" i="9"/>
  <c r="G38" i="2"/>
  <c r="U38" i="2"/>
  <c r="C37" i="9" l="1"/>
  <c r="D37" i="9" s="1"/>
  <c r="C34" i="9"/>
  <c r="D34" i="9" s="1"/>
  <c r="C33" i="9"/>
  <c r="D33" i="9" s="1"/>
  <c r="C32" i="9"/>
  <c r="D32" i="9" s="1"/>
  <c r="C29" i="9"/>
  <c r="D29" i="9" s="1"/>
  <c r="C28" i="9"/>
  <c r="D28" i="9" s="1"/>
  <c r="C36" i="9"/>
  <c r="D36" i="9" s="1"/>
  <c r="C35" i="9"/>
  <c r="D35" i="9" s="1"/>
  <c r="C31" i="9"/>
  <c r="D31" i="9" s="1"/>
  <c r="C30" i="9"/>
  <c r="D30" i="9" s="1"/>
  <c r="D23" i="4"/>
  <c r="E23" i="4" s="1"/>
  <c r="B3" i="7" s="1"/>
  <c r="D48" i="9"/>
  <c r="D24" i="4"/>
  <c r="E24" i="4" s="1"/>
  <c r="B4" i="7" s="1"/>
  <c r="C50" i="9"/>
  <c r="D50" i="9" s="1"/>
  <c r="C46" i="9"/>
  <c r="D46" i="9" s="1"/>
  <c r="C45" i="9"/>
  <c r="D45" i="9" s="1"/>
  <c r="C52" i="9"/>
  <c r="D52" i="9" s="1"/>
  <c r="C53" i="9"/>
  <c r="D53" i="9" s="1"/>
  <c r="C51" i="9"/>
  <c r="D51" i="9" s="1"/>
  <c r="C49" i="9"/>
  <c r="D49" i="9" s="1"/>
  <c r="C48" i="9"/>
  <c r="C47" i="9"/>
  <c r="C44" i="9"/>
  <c r="D44" i="9" s="1"/>
  <c r="D47" i="9"/>
  <c r="D22" i="4"/>
  <c r="E22" i="4" s="1"/>
  <c r="B2" i="7" s="1"/>
  <c r="C13" i="9"/>
  <c r="D13" i="9" s="1"/>
  <c r="C12" i="9"/>
  <c r="D12" i="9" s="1"/>
  <c r="C15" i="9"/>
  <c r="D15" i="9" s="1"/>
  <c r="C21" i="9"/>
  <c r="D21" i="9" s="1"/>
  <c r="C19" i="9"/>
  <c r="D19" i="9" s="1"/>
  <c r="C16" i="9"/>
  <c r="D16" i="9" s="1"/>
  <c r="C20" i="9"/>
  <c r="D20" i="9" s="1"/>
  <c r="C17" i="9"/>
  <c r="D17" i="9" s="1"/>
  <c r="C14" i="9"/>
  <c r="D14" i="9" s="1"/>
  <c r="C18" i="9"/>
  <c r="D18" i="9" s="1"/>
  <c r="F29" i="9" l="1"/>
  <c r="D38" i="9"/>
  <c r="F45" i="9"/>
  <c r="D54" i="9"/>
  <c r="B5" i="7"/>
  <c r="C5" i="7" s="1"/>
  <c r="E27" i="4" s="1"/>
  <c r="D22" i="9"/>
  <c r="F13" i="9"/>
</calcChain>
</file>

<file path=xl/sharedStrings.xml><?xml version="1.0" encoding="utf-8"?>
<sst xmlns="http://schemas.openxmlformats.org/spreadsheetml/2006/main" count="240" uniqueCount="95">
  <si>
    <t>COSTOS INICIALES DEL PROYECTO</t>
  </si>
  <si>
    <t>ÍTEM</t>
  </si>
  <si>
    <t>CANTIDAD</t>
  </si>
  <si>
    <t>COSTO UNITARIO</t>
  </si>
  <si>
    <t>COSTO TOTAL</t>
  </si>
  <si>
    <t>Soporte Metálico para Wall Box (Pedestal)</t>
  </si>
  <si>
    <t>Cargador JuiceBox 2F+T</t>
  </si>
  <si>
    <t xml:space="preserve">Caja de paso Interruptor diferencial IP65
 20X20
</t>
  </si>
  <si>
    <t>Totalizador Industrial 75A</t>
  </si>
  <si>
    <t>Coraza Americana LT 3/4"</t>
  </si>
  <si>
    <t>Interruptor Diferencial con Protección de Falla a Tierra 220V 2X40A</t>
  </si>
  <si>
    <t>Interruptor Termomagnético Bipolar 208V 40A Tipo Riel</t>
  </si>
  <si>
    <t>Ducto PVC 3/4"</t>
  </si>
  <si>
    <t>Cable de Cobre #8AWG THHN</t>
  </si>
  <si>
    <t>Cable de Cobre #10AWG THHN</t>
  </si>
  <si>
    <t>Terminal Tipo Pala 8</t>
  </si>
  <si>
    <t>Terminal Tipo Pala 10</t>
  </si>
  <si>
    <t>Obra Civil</t>
  </si>
  <si>
    <t>Instalación Wall Box</t>
  </si>
  <si>
    <t xml:space="preserve"> IVA (19%)</t>
  </si>
  <si>
    <t>TOTAL</t>
  </si>
  <si>
    <t>COSTO ACCESORIOS CARGADOR</t>
  </si>
  <si>
    <t>ACCESORIOS CARGADOR</t>
  </si>
  <si>
    <t>INSTALACIÓN Y OBRA CIVIL</t>
  </si>
  <si>
    <t>COSTO CARGADOR</t>
  </si>
  <si>
    <t>ANÁLISIS DE COSTOS ANUALES DE OPERACIÓN Y MANTENIMIENTO</t>
  </si>
  <si>
    <t>Mantenimiento Estación de Carga</t>
  </si>
  <si>
    <t>MANTENIMIENTO</t>
  </si>
  <si>
    <t>COSTO TOTAL MANTENIMIENTO</t>
  </si>
  <si>
    <t>COSTO CONSUMO ANUAL</t>
  </si>
  <si>
    <t>Costo Consumo Anual de Energía</t>
  </si>
  <si>
    <t>COSTO TOTAL CONSUMO DE ENERGÍA</t>
  </si>
  <si>
    <t>TOTAL COSTO ANUAL MANTENIMIENTO</t>
  </si>
  <si>
    <t>Variables</t>
  </si>
  <si>
    <t>Valor</t>
  </si>
  <si>
    <t>Unidad</t>
  </si>
  <si>
    <t>n</t>
  </si>
  <si>
    <t>i</t>
  </si>
  <si>
    <t>años</t>
  </si>
  <si>
    <t>anual</t>
  </si>
  <si>
    <t>1. El valor de los cargadores será el fijado por los proponentes.</t>
  </si>
  <si>
    <t>2. Se toma como tasa de descuento i, para efecto de traer el costo de operación y mantenimiento a valor presente.</t>
  </si>
  <si>
    <t>3. El costo del kWh se actualizará a la fecha de la evaluación económica.</t>
  </si>
  <si>
    <t>4. Los periodos de mantenimiento serán los mismos para todos los proponentes.</t>
  </si>
  <si>
    <t>Costo inicial de la inversión</t>
  </si>
  <si>
    <t>CAO</t>
  </si>
  <si>
    <t>Costo anual de la operación primer año</t>
  </si>
  <si>
    <t>T. CAO a hoy</t>
  </si>
  <si>
    <r>
      <t xml:space="preserve">Total costos anuales de operación traidos a valor presente (periodo </t>
    </r>
    <r>
      <rPr>
        <i/>
        <sz val="9"/>
        <color theme="1"/>
        <rFont val="Atial"/>
      </rPr>
      <t>n</t>
    </r>
    <r>
      <rPr>
        <sz val="9"/>
        <color theme="1"/>
        <rFont val="Atial"/>
      </rPr>
      <t xml:space="preserve"> en años)</t>
    </r>
  </si>
  <si>
    <t>VPN</t>
  </si>
  <si>
    <t>Total costo inicial más costos anuales de operación (periodo n en años)</t>
  </si>
  <si>
    <t>Conector recto para coraza americana</t>
  </si>
  <si>
    <t>Conector curvo para coraza americana</t>
  </si>
  <si>
    <t>Ducto PVC 3/4" x 3m</t>
  </si>
  <si>
    <t>Codo PVC 3/4"</t>
  </si>
  <si>
    <t>Unión PVC 3/4"</t>
  </si>
  <si>
    <t>Union en T PVC 3/4"</t>
  </si>
  <si>
    <t xml:space="preserve">Curva 90° PVC 3/4" </t>
  </si>
  <si>
    <t xml:space="preserve">VARIABLES </t>
  </si>
  <si>
    <t>VALOR</t>
  </si>
  <si>
    <t>UNIDAD</t>
  </si>
  <si>
    <t>kWh</t>
  </si>
  <si>
    <t>Horas de operación al año</t>
  </si>
  <si>
    <t>Años</t>
  </si>
  <si>
    <t>Anual</t>
  </si>
  <si>
    <t>Horas</t>
  </si>
  <si>
    <t>Cargador ABB Terra Wallbox</t>
  </si>
  <si>
    <t>ANÁLISIS DE COSTOS INICIALES PROPUESTA 1</t>
  </si>
  <si>
    <t>ANÁLISIS DE COSTOS INICIALES PROPUESTA 2</t>
  </si>
  <si>
    <t>ANÁLISIS DE COSTOS INICIALES PROPUESTA 3</t>
  </si>
  <si>
    <t>CI</t>
  </si>
  <si>
    <t>PROPONENTE</t>
  </si>
  <si>
    <t>COSTO INICIAL</t>
  </si>
  <si>
    <t>COSTO ANUAL OPERACIÓN</t>
  </si>
  <si>
    <t>TOTAL ANUALIDAD</t>
  </si>
  <si>
    <t>TOTAL COSTO INICIAL PROPUESTA 1</t>
  </si>
  <si>
    <t>TOTAL COSTO INICIAL PROPUESTA 3</t>
  </si>
  <si>
    <t>TOTAL COSTO INICIAL PROPUESTA 2</t>
  </si>
  <si>
    <t>5. El periodo de evaluación económica en años es de 10.</t>
  </si>
  <si>
    <t>Unión en T PVC 3/4"</t>
  </si>
  <si>
    <t>AÑO</t>
  </si>
  <si>
    <t>Promedio</t>
  </si>
  <si>
    <t>PROPUESTA 1</t>
  </si>
  <si>
    <t>PROPUESTA 2</t>
  </si>
  <si>
    <t>PROPUESTA 3</t>
  </si>
  <si>
    <t>OFERENTE</t>
  </si>
  <si>
    <t>Criterio</t>
  </si>
  <si>
    <t>TASA INFLACIÓN</t>
  </si>
  <si>
    <t>Dólares</t>
  </si>
  <si>
    <t>Período</t>
  </si>
  <si>
    <t xml:space="preserve">Ingresos </t>
  </si>
  <si>
    <t>Egresos</t>
  </si>
  <si>
    <t>Flujo</t>
  </si>
  <si>
    <t>Cargador eNext Park</t>
  </si>
  <si>
    <t>Teniendo en cuenta los criterios de evaluación y las obervaciones se concluye que la mejor propuesta es la: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</si>
</sst>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\ #,##0.00;[Red]\-&quot;$&quot;\ #,##0.00"/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</numFmts>
  <fonts count="12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tial"/>
    </font>
    <font>
      <sz val="9"/>
      <color theme="1"/>
      <name val="Atial"/>
    </font>
    <font>
      <i/>
      <sz val="9"/>
      <color theme="1"/>
      <name val="Atial"/>
    </font>
    <font>
      <i/>
      <sz val="10"/>
      <color theme="1"/>
      <name val="Arial"/>
      <family val="2"/>
    </font>
    <font>
      <b/>
      <sz val="10"/>
      <color theme="1"/>
      <name val="Atial"/>
    </font>
    <font>
      <sz val="10"/>
      <color theme="1"/>
      <name val="Atial"/>
    </font>
    <font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DDE5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2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/>
    <xf numFmtId="0" fontId="0" fillId="0" borderId="0" xfId="0" applyBorder="1"/>
    <xf numFmtId="164" fontId="1" fillId="0" borderId="1" xfId="0" applyNumberFormat="1" applyFont="1" applyBorder="1"/>
    <xf numFmtId="0" fontId="1" fillId="0" borderId="14" xfId="0" applyFont="1" applyBorder="1" applyAlignment="1">
      <alignment horizontal="center" vertical="center"/>
    </xf>
    <xf numFmtId="164" fontId="1" fillId="0" borderId="14" xfId="0" applyNumberFormat="1" applyFont="1" applyBorder="1"/>
    <xf numFmtId="0" fontId="2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64" fontId="1" fillId="0" borderId="3" xfId="0" applyNumberFormat="1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0" xfId="0" applyFont="1" applyBorder="1"/>
    <xf numFmtId="0" fontId="2" fillId="0" borderId="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164" fontId="1" fillId="0" borderId="12" xfId="0" applyNumberFormat="1" applyFont="1" applyBorder="1"/>
    <xf numFmtId="0" fontId="1" fillId="0" borderId="27" xfId="0" applyFont="1" applyBorder="1"/>
    <xf numFmtId="0" fontId="1" fillId="0" borderId="28" xfId="0" applyFont="1" applyBorder="1"/>
    <xf numFmtId="0" fontId="1" fillId="4" borderId="1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/>
    </xf>
    <xf numFmtId="0" fontId="6" fillId="0" borderId="16" xfId="0" applyFont="1" applyBorder="1"/>
    <xf numFmtId="0" fontId="6" fillId="0" borderId="21" xfId="0" applyFont="1" applyBorder="1"/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left"/>
    </xf>
    <xf numFmtId="44" fontId="1" fillId="0" borderId="14" xfId="0" applyNumberFormat="1" applyFont="1" applyBorder="1"/>
    <xf numFmtId="44" fontId="1" fillId="0" borderId="1" xfId="0" applyNumberFormat="1" applyFont="1" applyBorder="1"/>
    <xf numFmtId="44" fontId="1" fillId="0" borderId="1" xfId="0" applyNumberFormat="1" applyFont="1" applyBorder="1" applyAlignment="1">
      <alignment horizontal="center" vertical="center"/>
    </xf>
    <xf numFmtId="44" fontId="3" fillId="3" borderId="3" xfId="0" applyNumberFormat="1" applyFont="1" applyFill="1" applyBorder="1" applyAlignment="1">
      <alignment vertical="center"/>
    </xf>
    <xf numFmtId="44" fontId="1" fillId="0" borderId="3" xfId="0" applyNumberFormat="1" applyFont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0" borderId="0" xfId="0" applyFont="1"/>
    <xf numFmtId="2" fontId="1" fillId="0" borderId="1" xfId="0" applyNumberFormat="1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44" fontId="6" fillId="0" borderId="1" xfId="0" applyNumberFormat="1" applyFont="1" applyBorder="1"/>
    <xf numFmtId="44" fontId="6" fillId="0" borderId="22" xfId="0" applyNumberFormat="1" applyFont="1" applyBorder="1"/>
    <xf numFmtId="44" fontId="6" fillId="0" borderId="15" xfId="0" applyNumberFormat="1" applyFont="1" applyBorder="1"/>
    <xf numFmtId="44" fontId="6" fillId="0" borderId="23" xfId="0" applyNumberFormat="1" applyFont="1" applyBorder="1"/>
    <xf numFmtId="0" fontId="2" fillId="5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44" fontId="6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4" fontId="11" fillId="0" borderId="1" xfId="0" applyNumberFormat="1" applyFont="1" applyBorder="1" applyAlignment="1">
      <alignment horizontal="center" vertical="center"/>
    </xf>
    <xf numFmtId="10" fontId="6" fillId="0" borderId="22" xfId="0" applyNumberFormat="1" applyFont="1" applyBorder="1" applyAlignment="1">
      <alignment horizontal="center"/>
    </xf>
    <xf numFmtId="0" fontId="11" fillId="0" borderId="0" xfId="0" applyFont="1" applyBorder="1" applyAlignment="1">
      <alignment horizontal="center" vertical="center"/>
    </xf>
    <xf numFmtId="44" fontId="11" fillId="0" borderId="0" xfId="0" applyNumberFormat="1" applyFont="1" applyBorder="1" applyAlignment="1">
      <alignment horizontal="center" vertical="center"/>
    </xf>
    <xf numFmtId="8" fontId="6" fillId="0" borderId="22" xfId="0" applyNumberFormat="1" applyFont="1" applyBorder="1"/>
    <xf numFmtId="0" fontId="5" fillId="3" borderId="1" xfId="0" applyFont="1" applyFill="1" applyBorder="1" applyAlignment="1">
      <alignment horizontal="center" vertical="center"/>
    </xf>
    <xf numFmtId="9" fontId="6" fillId="0" borderId="0" xfId="0" applyNumberFormat="1" applyFont="1" applyBorder="1"/>
    <xf numFmtId="10" fontId="1" fillId="0" borderId="1" xfId="0" applyNumberFormat="1" applyFont="1" applyBorder="1" applyAlignment="1">
      <alignment horizontal="center" vertical="center"/>
    </xf>
    <xf numFmtId="44" fontId="11" fillId="0" borderId="1" xfId="0" applyNumberFormat="1" applyFont="1" applyBorder="1"/>
    <xf numFmtId="0" fontId="2" fillId="0" borderId="19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30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2" fillId="0" borderId="3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3" fillId="3" borderId="3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1" fillId="0" borderId="30" xfId="0" applyFont="1" applyBorder="1" applyAlignment="1">
      <alignment horizontal="left" wrapText="1"/>
    </xf>
    <xf numFmtId="0" fontId="1" fillId="0" borderId="9" xfId="0" applyFont="1" applyBorder="1" applyAlignment="1">
      <alignment horizontal="left" wrapText="1"/>
    </xf>
    <xf numFmtId="0" fontId="1" fillId="0" borderId="10" xfId="0" applyFont="1" applyBorder="1" applyAlignment="1">
      <alignment horizontal="left" wrapText="1"/>
    </xf>
    <xf numFmtId="0" fontId="3" fillId="3" borderId="3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35" xfId="0" applyFont="1" applyFill="1" applyBorder="1" applyAlignment="1">
      <alignment horizontal="center" vertical="center"/>
    </xf>
    <xf numFmtId="0" fontId="3" fillId="3" borderId="32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33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1" fillId="4" borderId="30" xfId="0" applyFont="1" applyFill="1" applyBorder="1" applyAlignment="1">
      <alignment horizontal="left"/>
    </xf>
    <xf numFmtId="0" fontId="1" fillId="4" borderId="9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1" fillId="0" borderId="3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0" fontId="6" fillId="0" borderId="5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36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37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38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10" fillId="0" borderId="0" xfId="0" applyFont="1" applyBorder="1" applyAlignment="1">
      <alignment horizontal="left" wrapText="1"/>
    </xf>
    <xf numFmtId="0" fontId="5" fillId="0" borderId="0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5FF"/>
      <color rgb="FFAFC2FF"/>
      <color rgb="FFFFFFC5"/>
      <color rgb="FFFFFF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7F365-ED7F-45F1-B342-92DBD57FC293}">
  <sheetPr codeName="Hoja2"/>
  <dimension ref="A1:U55"/>
  <sheetViews>
    <sheetView showGridLines="0" tabSelected="1" view="pageBreakPreview" zoomScaleNormal="100" zoomScaleSheetLayoutView="100" workbookViewId="0">
      <selection sqref="A1:G2"/>
    </sheetView>
  </sheetViews>
  <sheetFormatPr baseColWidth="10" defaultRowHeight="14.4"/>
  <cols>
    <col min="1" max="4" width="10.33203125" customWidth="1"/>
    <col min="5" max="5" width="15.77734375" customWidth="1"/>
    <col min="6" max="6" width="17.33203125" customWidth="1"/>
    <col min="7" max="7" width="15.77734375" customWidth="1"/>
    <col min="8" max="11" width="10.33203125" customWidth="1"/>
    <col min="12" max="12" width="15.77734375" customWidth="1"/>
    <col min="13" max="14" width="17.33203125" customWidth="1"/>
    <col min="15" max="18" width="10.33203125" customWidth="1"/>
    <col min="19" max="19" width="15.77734375" customWidth="1"/>
    <col min="20" max="21" width="17.33203125" customWidth="1"/>
  </cols>
  <sheetData>
    <row r="1" spans="1:21">
      <c r="A1" s="102" t="s">
        <v>67</v>
      </c>
      <c r="B1" s="103"/>
      <c r="C1" s="103"/>
      <c r="D1" s="103"/>
      <c r="E1" s="103"/>
      <c r="F1" s="103"/>
      <c r="G1" s="104"/>
      <c r="H1" s="102" t="s">
        <v>68</v>
      </c>
      <c r="I1" s="103"/>
      <c r="J1" s="103"/>
      <c r="K1" s="103"/>
      <c r="L1" s="103"/>
      <c r="M1" s="103"/>
      <c r="N1" s="104"/>
      <c r="O1" s="102" t="s">
        <v>69</v>
      </c>
      <c r="P1" s="103"/>
      <c r="Q1" s="103"/>
      <c r="R1" s="103"/>
      <c r="S1" s="103"/>
      <c r="T1" s="103"/>
      <c r="U1" s="104"/>
    </row>
    <row r="2" spans="1:21" ht="15" thickBot="1">
      <c r="A2" s="105"/>
      <c r="B2" s="106"/>
      <c r="C2" s="106"/>
      <c r="D2" s="106"/>
      <c r="E2" s="106"/>
      <c r="F2" s="106"/>
      <c r="G2" s="107"/>
      <c r="H2" s="105"/>
      <c r="I2" s="106"/>
      <c r="J2" s="106"/>
      <c r="K2" s="106"/>
      <c r="L2" s="106"/>
      <c r="M2" s="106"/>
      <c r="N2" s="107"/>
      <c r="O2" s="105"/>
      <c r="P2" s="106"/>
      <c r="Q2" s="106"/>
      <c r="R2" s="106"/>
      <c r="S2" s="106"/>
      <c r="T2" s="106"/>
      <c r="U2" s="107"/>
    </row>
    <row r="3" spans="1:21">
      <c r="A3" s="84" t="s">
        <v>0</v>
      </c>
      <c r="B3" s="85"/>
      <c r="C3" s="85"/>
      <c r="D3" s="85"/>
      <c r="E3" s="85"/>
      <c r="F3" s="85"/>
      <c r="G3" s="86"/>
      <c r="H3" s="84" t="s">
        <v>0</v>
      </c>
      <c r="I3" s="85"/>
      <c r="J3" s="85"/>
      <c r="K3" s="85"/>
      <c r="L3" s="85"/>
      <c r="M3" s="85"/>
      <c r="N3" s="86"/>
      <c r="O3" s="84" t="s">
        <v>0</v>
      </c>
      <c r="P3" s="85"/>
      <c r="Q3" s="85"/>
      <c r="R3" s="85"/>
      <c r="S3" s="85"/>
      <c r="T3" s="85"/>
      <c r="U3" s="86"/>
    </row>
    <row r="4" spans="1:21" ht="15" thickBot="1">
      <c r="A4" s="87"/>
      <c r="B4" s="88"/>
      <c r="C4" s="88"/>
      <c r="D4" s="88"/>
      <c r="E4" s="88"/>
      <c r="F4" s="88"/>
      <c r="G4" s="89"/>
      <c r="H4" s="87"/>
      <c r="I4" s="88"/>
      <c r="J4" s="88"/>
      <c r="K4" s="88"/>
      <c r="L4" s="88"/>
      <c r="M4" s="88"/>
      <c r="N4" s="89"/>
      <c r="O4" s="87"/>
      <c r="P4" s="88"/>
      <c r="Q4" s="88"/>
      <c r="R4" s="88"/>
      <c r="S4" s="88"/>
      <c r="T4" s="88"/>
      <c r="U4" s="89"/>
    </row>
    <row r="5" spans="1:21">
      <c r="A5" s="93" t="s">
        <v>1</v>
      </c>
      <c r="B5" s="94"/>
      <c r="C5" s="94"/>
      <c r="D5" s="95"/>
      <c r="E5" s="8" t="s">
        <v>2</v>
      </c>
      <c r="F5" s="8" t="s">
        <v>3</v>
      </c>
      <c r="G5" s="8" t="s">
        <v>4</v>
      </c>
      <c r="H5" s="93" t="s">
        <v>1</v>
      </c>
      <c r="I5" s="94"/>
      <c r="J5" s="94"/>
      <c r="K5" s="95"/>
      <c r="L5" s="8" t="s">
        <v>2</v>
      </c>
      <c r="M5" s="8" t="s">
        <v>3</v>
      </c>
      <c r="N5" s="8" t="s">
        <v>4</v>
      </c>
      <c r="O5" s="93" t="s">
        <v>1</v>
      </c>
      <c r="P5" s="94"/>
      <c r="Q5" s="94"/>
      <c r="R5" s="95"/>
      <c r="S5" s="8" t="s">
        <v>2</v>
      </c>
      <c r="T5" s="8" t="s">
        <v>3</v>
      </c>
      <c r="U5" s="8" t="s">
        <v>4</v>
      </c>
    </row>
    <row r="6" spans="1:21">
      <c r="A6" s="96" t="s">
        <v>6</v>
      </c>
      <c r="B6" s="97"/>
      <c r="C6" s="97"/>
      <c r="D6" s="98"/>
      <c r="E6" s="32">
        <v>1</v>
      </c>
      <c r="F6" s="5">
        <v>740</v>
      </c>
      <c r="G6" s="5">
        <f>+F6*E6</f>
        <v>740</v>
      </c>
      <c r="H6" s="73" t="s">
        <v>66</v>
      </c>
      <c r="I6" s="74"/>
      <c r="J6" s="74"/>
      <c r="K6" s="75"/>
      <c r="L6" s="32">
        <v>1</v>
      </c>
      <c r="M6" s="5">
        <f>3107866/4389.8</f>
        <v>707.97439518884687</v>
      </c>
      <c r="N6" s="5">
        <f>+M6*L6</f>
        <v>707.97439518884687</v>
      </c>
      <c r="O6" s="96" t="s">
        <v>93</v>
      </c>
      <c r="P6" s="97"/>
      <c r="Q6" s="97"/>
      <c r="R6" s="98"/>
      <c r="S6" s="32">
        <v>1</v>
      </c>
      <c r="T6" s="5">
        <f>5804007/4389.8</f>
        <v>1322.1575014807052</v>
      </c>
      <c r="U6" s="5">
        <f>+T6*S6</f>
        <v>1322.1575014807052</v>
      </c>
    </row>
    <row r="7" spans="1:21">
      <c r="A7" s="73"/>
      <c r="B7" s="74"/>
      <c r="C7" s="74"/>
      <c r="D7" s="75"/>
      <c r="E7" s="2"/>
      <c r="F7" s="5"/>
      <c r="G7" s="5"/>
      <c r="H7" s="73"/>
      <c r="I7" s="74"/>
      <c r="J7" s="74"/>
      <c r="K7" s="75"/>
      <c r="L7" s="2"/>
      <c r="M7" s="5"/>
      <c r="N7" s="5"/>
      <c r="O7" s="73"/>
      <c r="P7" s="74"/>
      <c r="Q7" s="74"/>
      <c r="R7" s="75"/>
      <c r="S7" s="32"/>
      <c r="T7" s="5"/>
      <c r="U7" s="5"/>
    </row>
    <row r="8" spans="1:21">
      <c r="A8" s="108" t="s">
        <v>24</v>
      </c>
      <c r="B8" s="108"/>
      <c r="C8" s="108"/>
      <c r="D8" s="108"/>
      <c r="E8" s="108">
        <f>E6</f>
        <v>1</v>
      </c>
      <c r="F8" s="21" t="s">
        <v>19</v>
      </c>
      <c r="G8" s="5">
        <f>SUM(G6)*0.19</f>
        <v>140.6</v>
      </c>
      <c r="H8" s="108" t="s">
        <v>24</v>
      </c>
      <c r="I8" s="108"/>
      <c r="J8" s="108"/>
      <c r="K8" s="108"/>
      <c r="L8" s="108">
        <f>L6</f>
        <v>1</v>
      </c>
      <c r="M8" s="21" t="s">
        <v>19</v>
      </c>
      <c r="N8" s="5">
        <f>SUM(N6)*0.19</f>
        <v>134.5151350858809</v>
      </c>
      <c r="O8" s="108" t="s">
        <v>24</v>
      </c>
      <c r="P8" s="108"/>
      <c r="Q8" s="108"/>
      <c r="R8" s="108"/>
      <c r="S8" s="108">
        <f>S6</f>
        <v>1</v>
      </c>
      <c r="T8" s="21" t="s">
        <v>19</v>
      </c>
      <c r="U8" s="5">
        <f>SUM(U6)*0.19</f>
        <v>251.20992528133399</v>
      </c>
    </row>
    <row r="9" spans="1:21" ht="15" thickBot="1">
      <c r="A9" s="109"/>
      <c r="B9" s="109"/>
      <c r="C9" s="109"/>
      <c r="D9" s="109"/>
      <c r="E9" s="109"/>
      <c r="F9" s="22" t="s">
        <v>20</v>
      </c>
      <c r="G9" s="29">
        <f>+SUM(G6:G8)</f>
        <v>880.6</v>
      </c>
      <c r="H9" s="109"/>
      <c r="I9" s="109"/>
      <c r="J9" s="109"/>
      <c r="K9" s="109"/>
      <c r="L9" s="109"/>
      <c r="M9" s="22" t="s">
        <v>20</v>
      </c>
      <c r="N9" s="29">
        <f>+SUM(N6:N8)</f>
        <v>842.48953027472771</v>
      </c>
      <c r="O9" s="109"/>
      <c r="P9" s="109"/>
      <c r="Q9" s="109"/>
      <c r="R9" s="109"/>
      <c r="S9" s="109"/>
      <c r="T9" s="22" t="s">
        <v>20</v>
      </c>
      <c r="U9" s="29">
        <f>+SUM(U6:U8)</f>
        <v>1573.367426762039</v>
      </c>
    </row>
    <row r="10" spans="1:21" ht="15" thickBot="1">
      <c r="A10" s="90" t="s">
        <v>22</v>
      </c>
      <c r="B10" s="91"/>
      <c r="C10" s="91"/>
      <c r="D10" s="91"/>
      <c r="E10" s="91"/>
      <c r="F10" s="91"/>
      <c r="G10" s="92"/>
      <c r="H10" s="90" t="s">
        <v>22</v>
      </c>
      <c r="I10" s="91"/>
      <c r="J10" s="91"/>
      <c r="K10" s="91"/>
      <c r="L10" s="91"/>
      <c r="M10" s="91"/>
      <c r="N10" s="92"/>
      <c r="O10" s="90" t="s">
        <v>22</v>
      </c>
      <c r="P10" s="91"/>
      <c r="Q10" s="91"/>
      <c r="R10" s="91"/>
      <c r="S10" s="91"/>
      <c r="T10" s="91"/>
      <c r="U10" s="92"/>
    </row>
    <row r="11" spans="1:21">
      <c r="A11" s="99" t="s">
        <v>5</v>
      </c>
      <c r="B11" s="100"/>
      <c r="C11" s="100"/>
      <c r="D11" s="101"/>
      <c r="E11" s="6">
        <v>1</v>
      </c>
      <c r="F11" s="41">
        <v>221.23</v>
      </c>
      <c r="G11" s="41">
        <f t="shared" ref="G11:G18" si="0">+F11*E11</f>
        <v>221.23</v>
      </c>
      <c r="H11" s="99" t="s">
        <v>5</v>
      </c>
      <c r="I11" s="100"/>
      <c r="J11" s="100"/>
      <c r="K11" s="101"/>
      <c r="L11" s="6">
        <v>1</v>
      </c>
      <c r="M11" s="41">
        <v>221.23</v>
      </c>
      <c r="N11" s="41">
        <f t="shared" ref="N11:N27" si="1">+M11*L11</f>
        <v>221.23</v>
      </c>
      <c r="O11" s="99" t="s">
        <v>5</v>
      </c>
      <c r="P11" s="100"/>
      <c r="Q11" s="100"/>
      <c r="R11" s="101"/>
      <c r="S11" s="6">
        <v>1</v>
      </c>
      <c r="T11" s="41">
        <v>221.23</v>
      </c>
      <c r="U11" s="41">
        <f t="shared" ref="U11:U27" si="2">+T11*S11</f>
        <v>221.23</v>
      </c>
    </row>
    <row r="12" spans="1:21">
      <c r="A12" s="73" t="s">
        <v>7</v>
      </c>
      <c r="B12" s="74"/>
      <c r="C12" s="74"/>
      <c r="D12" s="75"/>
      <c r="E12" s="2">
        <v>2</v>
      </c>
      <c r="F12" s="42">
        <v>5.83</v>
      </c>
      <c r="G12" s="42">
        <f t="shared" si="0"/>
        <v>11.66</v>
      </c>
      <c r="H12" s="73" t="s">
        <v>7</v>
      </c>
      <c r="I12" s="74"/>
      <c r="J12" s="74"/>
      <c r="K12" s="75"/>
      <c r="L12" s="2">
        <v>2</v>
      </c>
      <c r="M12" s="42">
        <v>5.83</v>
      </c>
      <c r="N12" s="42">
        <f t="shared" si="1"/>
        <v>11.66</v>
      </c>
      <c r="O12" s="73" t="s">
        <v>7</v>
      </c>
      <c r="P12" s="74"/>
      <c r="Q12" s="74"/>
      <c r="R12" s="75"/>
      <c r="S12" s="2">
        <v>2</v>
      </c>
      <c r="T12" s="42">
        <v>5.83</v>
      </c>
      <c r="U12" s="42">
        <f t="shared" si="2"/>
        <v>11.66</v>
      </c>
    </row>
    <row r="13" spans="1:21">
      <c r="A13" s="73" t="s">
        <v>8</v>
      </c>
      <c r="B13" s="74"/>
      <c r="C13" s="74"/>
      <c r="D13" s="75"/>
      <c r="E13" s="2">
        <v>2</v>
      </c>
      <c r="F13" s="42">
        <v>30.28</v>
      </c>
      <c r="G13" s="42">
        <f t="shared" si="0"/>
        <v>60.56</v>
      </c>
      <c r="H13" s="73" t="s">
        <v>8</v>
      </c>
      <c r="I13" s="74"/>
      <c r="J13" s="74"/>
      <c r="K13" s="75"/>
      <c r="L13" s="2">
        <v>2</v>
      </c>
      <c r="M13" s="42">
        <v>30.28</v>
      </c>
      <c r="N13" s="42">
        <f t="shared" si="1"/>
        <v>60.56</v>
      </c>
      <c r="O13" s="73" t="s">
        <v>8</v>
      </c>
      <c r="P13" s="74"/>
      <c r="Q13" s="74"/>
      <c r="R13" s="75"/>
      <c r="S13" s="2">
        <v>2</v>
      </c>
      <c r="T13" s="42">
        <v>30.28</v>
      </c>
      <c r="U13" s="42">
        <f t="shared" si="2"/>
        <v>60.56</v>
      </c>
    </row>
    <row r="14" spans="1:21">
      <c r="A14" s="73" t="s">
        <v>9</v>
      </c>
      <c r="B14" s="74"/>
      <c r="C14" s="74"/>
      <c r="D14" s="75"/>
      <c r="E14" s="2">
        <v>10</v>
      </c>
      <c r="F14" s="42">
        <v>1.1000000000000001</v>
      </c>
      <c r="G14" s="42">
        <f t="shared" si="0"/>
        <v>11</v>
      </c>
      <c r="H14" s="73" t="s">
        <v>9</v>
      </c>
      <c r="I14" s="74"/>
      <c r="J14" s="74"/>
      <c r="K14" s="75"/>
      <c r="L14" s="2">
        <v>10</v>
      </c>
      <c r="M14" s="42">
        <v>1.1000000000000001</v>
      </c>
      <c r="N14" s="42">
        <f t="shared" si="1"/>
        <v>11</v>
      </c>
      <c r="O14" s="73" t="s">
        <v>9</v>
      </c>
      <c r="P14" s="74"/>
      <c r="Q14" s="74"/>
      <c r="R14" s="75"/>
      <c r="S14" s="2">
        <v>10</v>
      </c>
      <c r="T14" s="42">
        <v>1.1000000000000001</v>
      </c>
      <c r="U14" s="42">
        <f t="shared" si="2"/>
        <v>11</v>
      </c>
    </row>
    <row r="15" spans="1:21">
      <c r="A15" s="73" t="s">
        <v>51</v>
      </c>
      <c r="B15" s="74"/>
      <c r="C15" s="74"/>
      <c r="D15" s="75"/>
      <c r="E15" s="2">
        <v>4</v>
      </c>
      <c r="F15" s="42">
        <v>0.79</v>
      </c>
      <c r="G15" s="42">
        <f t="shared" ref="G15:G16" si="3">+F15*E15</f>
        <v>3.16</v>
      </c>
      <c r="H15" s="73" t="s">
        <v>51</v>
      </c>
      <c r="I15" s="74"/>
      <c r="J15" s="74"/>
      <c r="K15" s="75"/>
      <c r="L15" s="2">
        <v>4</v>
      </c>
      <c r="M15" s="42">
        <v>0.79</v>
      </c>
      <c r="N15" s="42">
        <f t="shared" si="1"/>
        <v>3.16</v>
      </c>
      <c r="O15" s="73" t="s">
        <v>51</v>
      </c>
      <c r="P15" s="74"/>
      <c r="Q15" s="74"/>
      <c r="R15" s="75"/>
      <c r="S15" s="2">
        <v>4</v>
      </c>
      <c r="T15" s="42">
        <v>0.79</v>
      </c>
      <c r="U15" s="42">
        <f t="shared" si="2"/>
        <v>3.16</v>
      </c>
    </row>
    <row r="16" spans="1:21">
      <c r="A16" s="73" t="s">
        <v>52</v>
      </c>
      <c r="B16" s="74"/>
      <c r="C16" s="74"/>
      <c r="D16" s="75"/>
      <c r="E16" s="2">
        <v>4</v>
      </c>
      <c r="F16" s="42">
        <v>1.1000000000000001</v>
      </c>
      <c r="G16" s="42">
        <f t="shared" si="3"/>
        <v>4.4000000000000004</v>
      </c>
      <c r="H16" s="73" t="s">
        <v>52</v>
      </c>
      <c r="I16" s="74"/>
      <c r="J16" s="74"/>
      <c r="K16" s="75"/>
      <c r="L16" s="2">
        <v>4</v>
      </c>
      <c r="M16" s="42">
        <v>1.1000000000000001</v>
      </c>
      <c r="N16" s="42">
        <f t="shared" si="1"/>
        <v>4.4000000000000004</v>
      </c>
      <c r="O16" s="73" t="s">
        <v>52</v>
      </c>
      <c r="P16" s="74"/>
      <c r="Q16" s="74"/>
      <c r="R16" s="75"/>
      <c r="S16" s="2">
        <v>4</v>
      </c>
      <c r="T16" s="42">
        <v>1.1000000000000001</v>
      </c>
      <c r="U16" s="42">
        <f t="shared" si="2"/>
        <v>4.4000000000000004</v>
      </c>
    </row>
    <row r="17" spans="1:21" ht="28.8" customHeight="1">
      <c r="A17" s="81" t="s">
        <v>10</v>
      </c>
      <c r="B17" s="82"/>
      <c r="C17" s="82"/>
      <c r="D17" s="83"/>
      <c r="E17" s="2">
        <v>2</v>
      </c>
      <c r="F17" s="43">
        <v>24</v>
      </c>
      <c r="G17" s="43">
        <f t="shared" si="0"/>
        <v>48</v>
      </c>
      <c r="H17" s="81" t="s">
        <v>10</v>
      </c>
      <c r="I17" s="82"/>
      <c r="J17" s="82"/>
      <c r="K17" s="83"/>
      <c r="L17" s="2">
        <v>2</v>
      </c>
      <c r="M17" s="43">
        <v>24</v>
      </c>
      <c r="N17" s="43">
        <f t="shared" si="1"/>
        <v>48</v>
      </c>
      <c r="O17" s="81" t="s">
        <v>10</v>
      </c>
      <c r="P17" s="82"/>
      <c r="Q17" s="82"/>
      <c r="R17" s="83"/>
      <c r="S17" s="2">
        <v>2</v>
      </c>
      <c r="T17" s="43">
        <v>24</v>
      </c>
      <c r="U17" s="43">
        <f t="shared" si="2"/>
        <v>48</v>
      </c>
    </row>
    <row r="18" spans="1:21" ht="28.8" customHeight="1">
      <c r="A18" s="81" t="s">
        <v>11</v>
      </c>
      <c r="B18" s="82"/>
      <c r="C18" s="82"/>
      <c r="D18" s="83"/>
      <c r="E18" s="2">
        <v>2</v>
      </c>
      <c r="F18" s="43">
        <v>6.22</v>
      </c>
      <c r="G18" s="43">
        <f t="shared" si="0"/>
        <v>12.44</v>
      </c>
      <c r="H18" s="81" t="s">
        <v>11</v>
      </c>
      <c r="I18" s="82"/>
      <c r="J18" s="82"/>
      <c r="K18" s="83"/>
      <c r="L18" s="2">
        <v>2</v>
      </c>
      <c r="M18" s="43">
        <v>6.22</v>
      </c>
      <c r="N18" s="43">
        <f t="shared" si="1"/>
        <v>12.44</v>
      </c>
      <c r="O18" s="81" t="s">
        <v>11</v>
      </c>
      <c r="P18" s="82"/>
      <c r="Q18" s="82"/>
      <c r="R18" s="83"/>
      <c r="S18" s="2">
        <v>2</v>
      </c>
      <c r="T18" s="43">
        <v>6.22</v>
      </c>
      <c r="U18" s="43">
        <f t="shared" si="2"/>
        <v>12.44</v>
      </c>
    </row>
    <row r="19" spans="1:21">
      <c r="A19" s="73" t="s">
        <v>53</v>
      </c>
      <c r="B19" s="74"/>
      <c r="C19" s="74"/>
      <c r="D19" s="75"/>
      <c r="E19" s="2">
        <v>5</v>
      </c>
      <c r="F19" s="43">
        <v>1.25</v>
      </c>
      <c r="G19" s="43">
        <f t="shared" ref="G19:G27" si="4">+F19*E19</f>
        <v>6.25</v>
      </c>
      <c r="H19" s="73" t="s">
        <v>12</v>
      </c>
      <c r="I19" s="74"/>
      <c r="J19" s="74"/>
      <c r="K19" s="75"/>
      <c r="L19" s="2">
        <v>5</v>
      </c>
      <c r="M19" s="43">
        <v>1.25</v>
      </c>
      <c r="N19" s="43">
        <f t="shared" si="1"/>
        <v>6.25</v>
      </c>
      <c r="O19" s="73" t="s">
        <v>12</v>
      </c>
      <c r="P19" s="74"/>
      <c r="Q19" s="74"/>
      <c r="R19" s="75"/>
      <c r="S19" s="2">
        <v>5</v>
      </c>
      <c r="T19" s="43">
        <v>1.25</v>
      </c>
      <c r="U19" s="43">
        <f t="shared" si="2"/>
        <v>6.25</v>
      </c>
    </row>
    <row r="20" spans="1:21">
      <c r="A20" s="96" t="s">
        <v>54</v>
      </c>
      <c r="B20" s="97"/>
      <c r="C20" s="97"/>
      <c r="D20" s="98"/>
      <c r="E20" s="2">
        <v>10</v>
      </c>
      <c r="F20" s="43">
        <v>0.14000000000000001</v>
      </c>
      <c r="G20" s="43">
        <f t="shared" si="4"/>
        <v>1.4000000000000001</v>
      </c>
      <c r="H20" s="96" t="s">
        <v>54</v>
      </c>
      <c r="I20" s="97"/>
      <c r="J20" s="97"/>
      <c r="K20" s="98"/>
      <c r="L20" s="2">
        <v>10</v>
      </c>
      <c r="M20" s="43">
        <v>0.14000000000000001</v>
      </c>
      <c r="N20" s="43">
        <f t="shared" si="1"/>
        <v>1.4000000000000001</v>
      </c>
      <c r="O20" s="96" t="s">
        <v>54</v>
      </c>
      <c r="P20" s="97"/>
      <c r="Q20" s="97"/>
      <c r="R20" s="98"/>
      <c r="S20" s="2">
        <v>10</v>
      </c>
      <c r="T20" s="43">
        <v>0.14000000000000001</v>
      </c>
      <c r="U20" s="43">
        <f t="shared" si="2"/>
        <v>1.4000000000000001</v>
      </c>
    </row>
    <row r="21" spans="1:21">
      <c r="A21" s="96" t="s">
        <v>55</v>
      </c>
      <c r="B21" s="97"/>
      <c r="C21" s="97"/>
      <c r="D21" s="98"/>
      <c r="E21" s="2">
        <v>10</v>
      </c>
      <c r="F21" s="43">
        <v>0.11</v>
      </c>
      <c r="G21" s="43">
        <f t="shared" si="4"/>
        <v>1.1000000000000001</v>
      </c>
      <c r="H21" s="96" t="s">
        <v>55</v>
      </c>
      <c r="I21" s="97"/>
      <c r="J21" s="97"/>
      <c r="K21" s="98"/>
      <c r="L21" s="2">
        <v>10</v>
      </c>
      <c r="M21" s="43">
        <v>0.11</v>
      </c>
      <c r="N21" s="43">
        <f t="shared" si="1"/>
        <v>1.1000000000000001</v>
      </c>
      <c r="O21" s="96" t="s">
        <v>55</v>
      </c>
      <c r="P21" s="97"/>
      <c r="Q21" s="97"/>
      <c r="R21" s="98"/>
      <c r="S21" s="2">
        <v>10</v>
      </c>
      <c r="T21" s="43">
        <v>0.11</v>
      </c>
      <c r="U21" s="43">
        <f t="shared" si="2"/>
        <v>1.1000000000000001</v>
      </c>
    </row>
    <row r="22" spans="1:21">
      <c r="A22" s="96" t="s">
        <v>79</v>
      </c>
      <c r="B22" s="97"/>
      <c r="C22" s="97"/>
      <c r="D22" s="98"/>
      <c r="E22" s="2">
        <v>6</v>
      </c>
      <c r="F22" s="43">
        <v>1.64</v>
      </c>
      <c r="G22" s="43">
        <f t="shared" si="4"/>
        <v>9.84</v>
      </c>
      <c r="H22" s="96" t="s">
        <v>79</v>
      </c>
      <c r="I22" s="97"/>
      <c r="J22" s="97"/>
      <c r="K22" s="98"/>
      <c r="L22" s="39">
        <v>6</v>
      </c>
      <c r="M22" s="43">
        <v>1.64</v>
      </c>
      <c r="N22" s="43">
        <f t="shared" si="1"/>
        <v>9.84</v>
      </c>
      <c r="O22" s="96" t="s">
        <v>56</v>
      </c>
      <c r="P22" s="97"/>
      <c r="Q22" s="97"/>
      <c r="R22" s="98"/>
      <c r="S22" s="39">
        <v>6</v>
      </c>
      <c r="T22" s="43">
        <v>1.64</v>
      </c>
      <c r="U22" s="43">
        <f t="shared" si="2"/>
        <v>9.84</v>
      </c>
    </row>
    <row r="23" spans="1:21">
      <c r="A23" s="96" t="s">
        <v>57</v>
      </c>
      <c r="B23" s="97"/>
      <c r="C23" s="97"/>
      <c r="D23" s="98"/>
      <c r="E23" s="2">
        <v>5</v>
      </c>
      <c r="F23" s="43">
        <v>0.14000000000000001</v>
      </c>
      <c r="G23" s="43">
        <f t="shared" si="4"/>
        <v>0.70000000000000007</v>
      </c>
      <c r="H23" s="96" t="s">
        <v>57</v>
      </c>
      <c r="I23" s="97"/>
      <c r="J23" s="97"/>
      <c r="K23" s="98"/>
      <c r="L23" s="39">
        <v>5</v>
      </c>
      <c r="M23" s="43">
        <v>0.14000000000000001</v>
      </c>
      <c r="N23" s="43">
        <f t="shared" si="1"/>
        <v>0.70000000000000007</v>
      </c>
      <c r="O23" s="96" t="s">
        <v>57</v>
      </c>
      <c r="P23" s="97"/>
      <c r="Q23" s="97"/>
      <c r="R23" s="98"/>
      <c r="S23" s="39">
        <v>5</v>
      </c>
      <c r="T23" s="43">
        <v>0.14000000000000001</v>
      </c>
      <c r="U23" s="43">
        <f t="shared" si="2"/>
        <v>0.70000000000000007</v>
      </c>
    </row>
    <row r="24" spans="1:21">
      <c r="A24" s="73" t="s">
        <v>13</v>
      </c>
      <c r="B24" s="74"/>
      <c r="C24" s="74"/>
      <c r="D24" s="75"/>
      <c r="E24" s="2">
        <v>10</v>
      </c>
      <c r="F24" s="43">
        <v>0.95</v>
      </c>
      <c r="G24" s="43">
        <f t="shared" si="4"/>
        <v>9.5</v>
      </c>
      <c r="H24" s="73" t="s">
        <v>13</v>
      </c>
      <c r="I24" s="74"/>
      <c r="J24" s="74"/>
      <c r="K24" s="75"/>
      <c r="L24" s="2">
        <v>10</v>
      </c>
      <c r="M24" s="43">
        <v>0.95</v>
      </c>
      <c r="N24" s="43">
        <f t="shared" si="1"/>
        <v>9.5</v>
      </c>
      <c r="O24" s="73" t="s">
        <v>13</v>
      </c>
      <c r="P24" s="74"/>
      <c r="Q24" s="74"/>
      <c r="R24" s="75"/>
      <c r="S24" s="2">
        <v>10</v>
      </c>
      <c r="T24" s="43">
        <v>0.95</v>
      </c>
      <c r="U24" s="43">
        <f t="shared" si="2"/>
        <v>9.5</v>
      </c>
    </row>
    <row r="25" spans="1:21">
      <c r="A25" s="73" t="s">
        <v>14</v>
      </c>
      <c r="B25" s="74"/>
      <c r="C25" s="74"/>
      <c r="D25" s="75"/>
      <c r="E25" s="2">
        <v>10</v>
      </c>
      <c r="F25" s="43">
        <v>0.6</v>
      </c>
      <c r="G25" s="43">
        <f t="shared" si="4"/>
        <v>6</v>
      </c>
      <c r="H25" s="73" t="s">
        <v>14</v>
      </c>
      <c r="I25" s="74"/>
      <c r="J25" s="74"/>
      <c r="K25" s="75"/>
      <c r="L25" s="2">
        <v>10</v>
      </c>
      <c r="M25" s="43">
        <v>0.6</v>
      </c>
      <c r="N25" s="43">
        <f t="shared" si="1"/>
        <v>6</v>
      </c>
      <c r="O25" s="73" t="s">
        <v>14</v>
      </c>
      <c r="P25" s="74"/>
      <c r="Q25" s="74"/>
      <c r="R25" s="75"/>
      <c r="S25" s="2">
        <v>10</v>
      </c>
      <c r="T25" s="43">
        <v>0.6</v>
      </c>
      <c r="U25" s="43">
        <f t="shared" si="2"/>
        <v>6</v>
      </c>
    </row>
    <row r="26" spans="1:21">
      <c r="A26" s="73" t="s">
        <v>15</v>
      </c>
      <c r="B26" s="74"/>
      <c r="C26" s="74"/>
      <c r="D26" s="75"/>
      <c r="E26" s="2">
        <v>15</v>
      </c>
      <c r="F26" s="43">
        <v>0.2</v>
      </c>
      <c r="G26" s="43">
        <f t="shared" si="4"/>
        <v>3</v>
      </c>
      <c r="H26" s="73" t="s">
        <v>15</v>
      </c>
      <c r="I26" s="74"/>
      <c r="J26" s="74"/>
      <c r="K26" s="75"/>
      <c r="L26" s="2">
        <v>15</v>
      </c>
      <c r="M26" s="43">
        <v>0.2</v>
      </c>
      <c r="N26" s="43">
        <f t="shared" si="1"/>
        <v>3</v>
      </c>
      <c r="O26" s="73" t="s">
        <v>15</v>
      </c>
      <c r="P26" s="74"/>
      <c r="Q26" s="74"/>
      <c r="R26" s="75"/>
      <c r="S26" s="2">
        <v>15</v>
      </c>
      <c r="T26" s="43">
        <v>0.2</v>
      </c>
      <c r="U26" s="43">
        <f t="shared" si="2"/>
        <v>3</v>
      </c>
    </row>
    <row r="27" spans="1:21">
      <c r="A27" s="73" t="s">
        <v>16</v>
      </c>
      <c r="B27" s="74"/>
      <c r="C27" s="74"/>
      <c r="D27" s="75"/>
      <c r="E27" s="2">
        <v>15</v>
      </c>
      <c r="F27" s="43">
        <v>0.57999999999999996</v>
      </c>
      <c r="G27" s="43">
        <f t="shared" si="4"/>
        <v>8.6999999999999993</v>
      </c>
      <c r="H27" s="73" t="s">
        <v>16</v>
      </c>
      <c r="I27" s="74"/>
      <c r="J27" s="74"/>
      <c r="K27" s="75"/>
      <c r="L27" s="2">
        <v>15</v>
      </c>
      <c r="M27" s="43">
        <v>0.57999999999999996</v>
      </c>
      <c r="N27" s="43">
        <f t="shared" si="1"/>
        <v>8.6999999999999993</v>
      </c>
      <c r="O27" s="73" t="s">
        <v>16</v>
      </c>
      <c r="P27" s="74"/>
      <c r="Q27" s="74"/>
      <c r="R27" s="75"/>
      <c r="S27" s="2">
        <v>15</v>
      </c>
      <c r="T27" s="43">
        <v>0.57999999999999996</v>
      </c>
      <c r="U27" s="43">
        <f t="shared" si="2"/>
        <v>8.6999999999999993</v>
      </c>
    </row>
    <row r="28" spans="1:21">
      <c r="A28" s="73"/>
      <c r="B28" s="74"/>
      <c r="C28" s="74"/>
      <c r="D28" s="75"/>
      <c r="E28" s="2"/>
      <c r="F28" s="5"/>
      <c r="G28" s="5"/>
      <c r="H28" s="73"/>
      <c r="I28" s="74"/>
      <c r="J28" s="74"/>
      <c r="K28" s="75"/>
      <c r="L28" s="2"/>
      <c r="M28" s="5"/>
      <c r="N28" s="7">
        <f t="shared" ref="N28" si="5">+M28*L28</f>
        <v>0</v>
      </c>
      <c r="O28" s="73"/>
      <c r="P28" s="74"/>
      <c r="Q28" s="74"/>
      <c r="R28" s="75"/>
      <c r="S28" s="2"/>
      <c r="T28" s="5"/>
      <c r="U28" s="5"/>
    </row>
    <row r="29" spans="1:21">
      <c r="A29" s="73"/>
      <c r="B29" s="74"/>
      <c r="C29" s="74"/>
      <c r="D29" s="75"/>
      <c r="E29" s="2"/>
      <c r="F29" s="5"/>
      <c r="G29" s="5"/>
      <c r="H29" s="73"/>
      <c r="I29" s="74"/>
      <c r="J29" s="74"/>
      <c r="K29" s="75"/>
      <c r="L29" s="2"/>
      <c r="M29" s="5"/>
      <c r="N29" s="5"/>
      <c r="O29" s="73"/>
      <c r="P29" s="74"/>
      <c r="Q29" s="74"/>
      <c r="R29" s="75"/>
      <c r="S29" s="2"/>
      <c r="T29" s="5"/>
      <c r="U29" s="5"/>
    </row>
    <row r="30" spans="1:21">
      <c r="A30" s="108" t="s">
        <v>21</v>
      </c>
      <c r="B30" s="108"/>
      <c r="C30" s="108"/>
      <c r="D30" s="108"/>
      <c r="E30" s="108">
        <f>SUM(E11:E27)</f>
        <v>113</v>
      </c>
      <c r="F30" s="21" t="s">
        <v>19</v>
      </c>
      <c r="G30" s="42">
        <f>SUM(G11:G29)*0.19</f>
        <v>79.59859999999999</v>
      </c>
      <c r="H30" s="108" t="s">
        <v>21</v>
      </c>
      <c r="I30" s="108"/>
      <c r="J30" s="108"/>
      <c r="K30" s="108"/>
      <c r="L30" s="108">
        <f>SUM(L11:L27)</f>
        <v>113</v>
      </c>
      <c r="M30" s="21" t="s">
        <v>19</v>
      </c>
      <c r="N30" s="42">
        <f>SUM(N11:N29)*0.19</f>
        <v>79.59859999999999</v>
      </c>
      <c r="O30" s="108" t="s">
        <v>21</v>
      </c>
      <c r="P30" s="108"/>
      <c r="Q30" s="108"/>
      <c r="R30" s="108"/>
      <c r="S30" s="108">
        <f>SUM(S11:S27)</f>
        <v>113</v>
      </c>
      <c r="T30" s="21" t="s">
        <v>19</v>
      </c>
      <c r="U30" s="42">
        <f>SUM(U11:U29)*0.19</f>
        <v>79.59859999999999</v>
      </c>
    </row>
    <row r="31" spans="1:21" ht="15" thickBot="1">
      <c r="A31" s="108"/>
      <c r="B31" s="108"/>
      <c r="C31" s="108"/>
      <c r="D31" s="108"/>
      <c r="E31" s="108"/>
      <c r="F31" s="21" t="s">
        <v>20</v>
      </c>
      <c r="G31" s="42">
        <f>+SUM(G11:G30)</f>
        <v>498.53859999999992</v>
      </c>
      <c r="H31" s="108"/>
      <c r="I31" s="108"/>
      <c r="J31" s="108"/>
      <c r="K31" s="108"/>
      <c r="L31" s="108"/>
      <c r="M31" s="21" t="s">
        <v>20</v>
      </c>
      <c r="N31" s="42">
        <f>+SUM(N11:N30)</f>
        <v>498.53859999999992</v>
      </c>
      <c r="O31" s="108"/>
      <c r="P31" s="108"/>
      <c r="Q31" s="108"/>
      <c r="R31" s="108"/>
      <c r="S31" s="108"/>
      <c r="T31" s="21" t="s">
        <v>20</v>
      </c>
      <c r="U31" s="42">
        <f>+SUM(U11:U30)</f>
        <v>498.53859999999992</v>
      </c>
    </row>
    <row r="32" spans="1:21" ht="15" thickBot="1">
      <c r="A32" s="90" t="s">
        <v>23</v>
      </c>
      <c r="B32" s="91"/>
      <c r="C32" s="91"/>
      <c r="D32" s="91"/>
      <c r="E32" s="91"/>
      <c r="F32" s="91"/>
      <c r="G32" s="92"/>
      <c r="H32" s="90" t="s">
        <v>23</v>
      </c>
      <c r="I32" s="91"/>
      <c r="J32" s="91"/>
      <c r="K32" s="91"/>
      <c r="L32" s="91"/>
      <c r="M32" s="91"/>
      <c r="N32" s="92"/>
      <c r="O32" s="90" t="s">
        <v>23</v>
      </c>
      <c r="P32" s="91"/>
      <c r="Q32" s="91"/>
      <c r="R32" s="91"/>
      <c r="S32" s="91"/>
      <c r="T32" s="91"/>
      <c r="U32" s="92"/>
    </row>
    <row r="33" spans="1:21">
      <c r="A33" s="73" t="s">
        <v>17</v>
      </c>
      <c r="B33" s="74"/>
      <c r="C33" s="74"/>
      <c r="D33" s="75"/>
      <c r="E33" s="6">
        <v>1</v>
      </c>
      <c r="F33" s="41">
        <v>333</v>
      </c>
      <c r="G33" s="41">
        <f t="shared" ref="G33:G34" si="6">+F33*E33</f>
        <v>333</v>
      </c>
      <c r="H33" s="73" t="s">
        <v>17</v>
      </c>
      <c r="I33" s="74"/>
      <c r="J33" s="74"/>
      <c r="K33" s="75"/>
      <c r="L33" s="6">
        <v>1</v>
      </c>
      <c r="M33" s="41">
        <v>333</v>
      </c>
      <c r="N33" s="41">
        <f t="shared" ref="N33:N34" si="7">+M33*L33</f>
        <v>333</v>
      </c>
      <c r="O33" s="73" t="s">
        <v>17</v>
      </c>
      <c r="P33" s="74"/>
      <c r="Q33" s="74"/>
      <c r="R33" s="75"/>
      <c r="S33" s="6">
        <v>1</v>
      </c>
      <c r="T33" s="41">
        <v>333</v>
      </c>
      <c r="U33" s="41">
        <f t="shared" ref="U33:U34" si="8">+T33*S33</f>
        <v>333</v>
      </c>
    </row>
    <row r="34" spans="1:21">
      <c r="A34" s="73" t="s">
        <v>18</v>
      </c>
      <c r="B34" s="74"/>
      <c r="C34" s="74"/>
      <c r="D34" s="75"/>
      <c r="E34" s="2">
        <v>1</v>
      </c>
      <c r="F34" s="42">
        <v>249.75</v>
      </c>
      <c r="G34" s="42">
        <f t="shared" si="6"/>
        <v>249.75</v>
      </c>
      <c r="H34" s="73" t="s">
        <v>18</v>
      </c>
      <c r="I34" s="74"/>
      <c r="J34" s="74"/>
      <c r="K34" s="75"/>
      <c r="L34" s="2">
        <v>1</v>
      </c>
      <c r="M34" s="42">
        <v>249.75</v>
      </c>
      <c r="N34" s="42">
        <f t="shared" si="7"/>
        <v>249.75</v>
      </c>
      <c r="O34" s="73" t="s">
        <v>18</v>
      </c>
      <c r="P34" s="74"/>
      <c r="Q34" s="74"/>
      <c r="R34" s="75"/>
      <c r="S34" s="2">
        <v>1</v>
      </c>
      <c r="T34" s="42">
        <v>249.75</v>
      </c>
      <c r="U34" s="42">
        <f t="shared" si="8"/>
        <v>249.75</v>
      </c>
    </row>
    <row r="35" spans="1:21">
      <c r="A35" s="73"/>
      <c r="B35" s="74"/>
      <c r="C35" s="74"/>
      <c r="D35" s="75"/>
      <c r="E35" s="2"/>
      <c r="F35" s="5"/>
      <c r="G35" s="42"/>
      <c r="H35" s="73"/>
      <c r="I35" s="74"/>
      <c r="J35" s="74"/>
      <c r="K35" s="75"/>
      <c r="L35" s="2"/>
      <c r="M35" s="5"/>
      <c r="N35" s="42"/>
      <c r="O35" s="73"/>
      <c r="P35" s="74"/>
      <c r="Q35" s="74"/>
      <c r="R35" s="75"/>
      <c r="S35" s="2"/>
      <c r="T35" s="5"/>
      <c r="U35" s="5"/>
    </row>
    <row r="36" spans="1:21">
      <c r="A36" s="108" t="s">
        <v>21</v>
      </c>
      <c r="B36" s="108"/>
      <c r="C36" s="108"/>
      <c r="D36" s="108"/>
      <c r="E36" s="108">
        <f>SUM(E33:E34)</f>
        <v>2</v>
      </c>
      <c r="F36" s="21" t="s">
        <v>19</v>
      </c>
      <c r="G36" s="42">
        <f>SUM(G33:G35)*0.19</f>
        <v>110.7225</v>
      </c>
      <c r="H36" s="108" t="s">
        <v>21</v>
      </c>
      <c r="I36" s="108"/>
      <c r="J36" s="108"/>
      <c r="K36" s="108"/>
      <c r="L36" s="108">
        <f>SUM(L33:L34)</f>
        <v>2</v>
      </c>
      <c r="M36" s="21" t="s">
        <v>19</v>
      </c>
      <c r="N36" s="42">
        <f>SUM(N33:N35)*0.19</f>
        <v>110.7225</v>
      </c>
      <c r="O36" s="108" t="s">
        <v>21</v>
      </c>
      <c r="P36" s="108"/>
      <c r="Q36" s="108"/>
      <c r="R36" s="108"/>
      <c r="S36" s="108">
        <f>SUM(S33:S34)</f>
        <v>2</v>
      </c>
      <c r="T36" s="21" t="s">
        <v>19</v>
      </c>
      <c r="U36" s="5">
        <f>SUM(U33:U35)*0.19</f>
        <v>110.7225</v>
      </c>
    </row>
    <row r="37" spans="1:21" ht="15" thickBot="1">
      <c r="A37" s="108"/>
      <c r="B37" s="108"/>
      <c r="C37" s="108"/>
      <c r="D37" s="108"/>
      <c r="E37" s="108"/>
      <c r="F37" s="21" t="s">
        <v>20</v>
      </c>
      <c r="G37" s="42">
        <f>+SUM(G33:G36)</f>
        <v>693.47249999999997</v>
      </c>
      <c r="H37" s="108"/>
      <c r="I37" s="108"/>
      <c r="J37" s="108"/>
      <c r="K37" s="108"/>
      <c r="L37" s="108"/>
      <c r="M37" s="21" t="s">
        <v>20</v>
      </c>
      <c r="N37" s="42">
        <f>+SUM(N33:N36)</f>
        <v>693.47249999999997</v>
      </c>
      <c r="O37" s="108"/>
      <c r="P37" s="108"/>
      <c r="Q37" s="108"/>
      <c r="R37" s="108"/>
      <c r="S37" s="108"/>
      <c r="T37" s="21" t="s">
        <v>20</v>
      </c>
      <c r="U37" s="5">
        <f>+SUM(U33:U36)</f>
        <v>693.47249999999997</v>
      </c>
    </row>
    <row r="38" spans="1:21" ht="15" thickBot="1">
      <c r="A38" s="79" t="s">
        <v>75</v>
      </c>
      <c r="B38" s="80"/>
      <c r="C38" s="80"/>
      <c r="D38" s="80"/>
      <c r="E38" s="80"/>
      <c r="F38" s="80"/>
      <c r="G38" s="44">
        <f>+SUM(G9+G31+G37)</f>
        <v>2072.6111000000001</v>
      </c>
      <c r="H38" s="79" t="s">
        <v>77</v>
      </c>
      <c r="I38" s="80"/>
      <c r="J38" s="80"/>
      <c r="K38" s="80"/>
      <c r="L38" s="80"/>
      <c r="M38" s="80"/>
      <c r="N38" s="44">
        <f>+SUM(N9+N31+N37)</f>
        <v>2034.5006302747274</v>
      </c>
      <c r="O38" s="79" t="s">
        <v>76</v>
      </c>
      <c r="P38" s="80"/>
      <c r="Q38" s="80"/>
      <c r="R38" s="80"/>
      <c r="S38" s="80"/>
      <c r="T38" s="80"/>
      <c r="U38" s="44">
        <f>+SUM(U9+U31+U37)</f>
        <v>2765.3785267620387</v>
      </c>
    </row>
    <row r="39" spans="1:21" ht="15" thickBot="1">
      <c r="A39" s="30"/>
      <c r="B39" s="3"/>
      <c r="C39" s="3"/>
      <c r="D39" s="3"/>
      <c r="E39" s="3"/>
      <c r="F39" s="3"/>
      <c r="G39" s="31"/>
      <c r="H39" s="30"/>
      <c r="I39" s="3"/>
      <c r="J39" s="3"/>
      <c r="K39" s="3"/>
      <c r="L39" s="3"/>
      <c r="M39" s="3"/>
      <c r="N39" s="31"/>
      <c r="O39" s="30"/>
      <c r="P39" s="3"/>
      <c r="Q39" s="3"/>
      <c r="R39" s="3"/>
      <c r="S39" s="3"/>
      <c r="T39" s="3"/>
      <c r="U39" s="31"/>
    </row>
    <row r="40" spans="1:21">
      <c r="A40" s="84" t="s">
        <v>25</v>
      </c>
      <c r="B40" s="85"/>
      <c r="C40" s="85"/>
      <c r="D40" s="85"/>
      <c r="E40" s="85"/>
      <c r="F40" s="85"/>
      <c r="G40" s="86"/>
      <c r="H40" s="84" t="s">
        <v>25</v>
      </c>
      <c r="I40" s="85"/>
      <c r="J40" s="85"/>
      <c r="K40" s="85"/>
      <c r="L40" s="85"/>
      <c r="M40" s="85"/>
      <c r="N40" s="86"/>
      <c r="O40" s="84" t="s">
        <v>25</v>
      </c>
      <c r="P40" s="85"/>
      <c r="Q40" s="85"/>
      <c r="R40" s="85"/>
      <c r="S40" s="85"/>
      <c r="T40" s="85"/>
      <c r="U40" s="86"/>
    </row>
    <row r="41" spans="1:21" ht="15" thickBot="1">
      <c r="A41" s="87"/>
      <c r="B41" s="88"/>
      <c r="C41" s="88"/>
      <c r="D41" s="88"/>
      <c r="E41" s="88"/>
      <c r="F41" s="88"/>
      <c r="G41" s="89"/>
      <c r="H41" s="87"/>
      <c r="I41" s="88"/>
      <c r="J41" s="88"/>
      <c r="K41" s="88"/>
      <c r="L41" s="88"/>
      <c r="M41" s="88"/>
      <c r="N41" s="89"/>
      <c r="O41" s="87"/>
      <c r="P41" s="88"/>
      <c r="Q41" s="88"/>
      <c r="R41" s="88"/>
      <c r="S41" s="88"/>
      <c r="T41" s="88"/>
      <c r="U41" s="89"/>
    </row>
    <row r="42" spans="1:21" ht="15" thickBot="1">
      <c r="A42" s="90" t="s">
        <v>27</v>
      </c>
      <c r="B42" s="91"/>
      <c r="C42" s="91"/>
      <c r="D42" s="91"/>
      <c r="E42" s="91"/>
      <c r="F42" s="91"/>
      <c r="G42" s="92"/>
      <c r="H42" s="90" t="s">
        <v>27</v>
      </c>
      <c r="I42" s="91"/>
      <c r="J42" s="91"/>
      <c r="K42" s="91"/>
      <c r="L42" s="91"/>
      <c r="M42" s="91"/>
      <c r="N42" s="92"/>
      <c r="O42" s="90" t="s">
        <v>27</v>
      </c>
      <c r="P42" s="91"/>
      <c r="Q42" s="91"/>
      <c r="R42" s="91"/>
      <c r="S42" s="91"/>
      <c r="T42" s="91"/>
      <c r="U42" s="92"/>
    </row>
    <row r="43" spans="1:21" ht="15" thickBot="1">
      <c r="A43" s="110" t="s">
        <v>26</v>
      </c>
      <c r="B43" s="111"/>
      <c r="C43" s="111"/>
      <c r="D43" s="112"/>
      <c r="E43" s="9">
        <v>1</v>
      </c>
      <c r="F43" s="10">
        <f>+G38*0.15</f>
        <v>310.89166499999999</v>
      </c>
      <c r="G43" s="10">
        <f t="shared" ref="G43" si="9">+F43*E43</f>
        <v>310.89166499999999</v>
      </c>
      <c r="H43" s="110" t="s">
        <v>26</v>
      </c>
      <c r="I43" s="111"/>
      <c r="J43" s="111"/>
      <c r="K43" s="112"/>
      <c r="L43" s="9">
        <v>1</v>
      </c>
      <c r="M43" s="10">
        <v>311</v>
      </c>
      <c r="N43" s="10">
        <f t="shared" ref="N43" si="10">+M43*L43</f>
        <v>311</v>
      </c>
      <c r="O43" s="110" t="s">
        <v>26</v>
      </c>
      <c r="P43" s="111"/>
      <c r="Q43" s="111"/>
      <c r="R43" s="112"/>
      <c r="S43" s="9">
        <v>1</v>
      </c>
      <c r="T43" s="10">
        <v>311</v>
      </c>
      <c r="U43" s="10">
        <f t="shared" ref="U43" si="11">+T43*S43</f>
        <v>311</v>
      </c>
    </row>
    <row r="44" spans="1:21" ht="15" thickBot="1">
      <c r="A44" s="76" t="s">
        <v>28</v>
      </c>
      <c r="B44" s="77"/>
      <c r="C44" s="77"/>
      <c r="D44" s="77"/>
      <c r="E44" s="78"/>
      <c r="F44" s="11" t="s">
        <v>20</v>
      </c>
      <c r="G44" s="10">
        <f>+SUM(G43)</f>
        <v>310.89166499999999</v>
      </c>
      <c r="H44" s="76" t="s">
        <v>28</v>
      </c>
      <c r="I44" s="77"/>
      <c r="J44" s="77"/>
      <c r="K44" s="77"/>
      <c r="L44" s="78"/>
      <c r="M44" s="11" t="s">
        <v>20</v>
      </c>
      <c r="N44" s="10">
        <f>+SUM(N43)</f>
        <v>311</v>
      </c>
      <c r="O44" s="76" t="s">
        <v>28</v>
      </c>
      <c r="P44" s="77"/>
      <c r="Q44" s="77"/>
      <c r="R44" s="77"/>
      <c r="S44" s="78"/>
      <c r="T44" s="11" t="s">
        <v>20</v>
      </c>
      <c r="U44" s="10">
        <f>+SUM(U43)</f>
        <v>311</v>
      </c>
    </row>
    <row r="45" spans="1:21" ht="15" thickBot="1">
      <c r="A45" s="90" t="s">
        <v>29</v>
      </c>
      <c r="B45" s="91"/>
      <c r="C45" s="91"/>
      <c r="D45" s="91"/>
      <c r="E45" s="91"/>
      <c r="F45" s="91"/>
      <c r="G45" s="92"/>
      <c r="H45" s="90" t="s">
        <v>29</v>
      </c>
      <c r="I45" s="91"/>
      <c r="J45" s="91"/>
      <c r="K45" s="91"/>
      <c r="L45" s="91"/>
      <c r="M45" s="91"/>
      <c r="N45" s="92"/>
      <c r="O45" s="90" t="s">
        <v>29</v>
      </c>
      <c r="P45" s="91"/>
      <c r="Q45" s="91"/>
      <c r="R45" s="91"/>
      <c r="S45" s="91"/>
      <c r="T45" s="91"/>
      <c r="U45" s="92"/>
    </row>
    <row r="46" spans="1:21" ht="15" thickBot="1">
      <c r="A46" s="110" t="s">
        <v>30</v>
      </c>
      <c r="B46" s="111"/>
      <c r="C46" s="111"/>
      <c r="D46" s="112"/>
      <c r="E46" s="9">
        <f>+E6*7.4*E54</f>
        <v>42032</v>
      </c>
      <c r="F46" s="45">
        <f>E53</f>
        <v>0.15</v>
      </c>
      <c r="G46" s="10">
        <f t="shared" ref="G46" si="12">+F46*E46</f>
        <v>6304.8</v>
      </c>
      <c r="H46" s="110" t="s">
        <v>30</v>
      </c>
      <c r="I46" s="111"/>
      <c r="J46" s="111"/>
      <c r="K46" s="112"/>
      <c r="L46" s="9">
        <f>+L6*7.5*L54</f>
        <v>42600</v>
      </c>
      <c r="M46" s="45">
        <f>L53</f>
        <v>0.15</v>
      </c>
      <c r="N46" s="10">
        <f t="shared" ref="N46" si="13">+M46*L46</f>
        <v>6390</v>
      </c>
      <c r="O46" s="110" t="s">
        <v>30</v>
      </c>
      <c r="P46" s="111"/>
      <c r="Q46" s="111"/>
      <c r="R46" s="112"/>
      <c r="S46" s="46">
        <f>+S6*7.4*S54</f>
        <v>42032</v>
      </c>
      <c r="T46" s="45">
        <f>+S53</f>
        <v>0.15</v>
      </c>
      <c r="U46" s="10">
        <f t="shared" ref="U46" si="14">+T46*S46</f>
        <v>6304.8</v>
      </c>
    </row>
    <row r="47" spans="1:21" ht="15" thickBot="1">
      <c r="A47" s="76" t="s">
        <v>31</v>
      </c>
      <c r="B47" s="77"/>
      <c r="C47" s="77"/>
      <c r="D47" s="77"/>
      <c r="E47" s="78"/>
      <c r="F47" s="11" t="s">
        <v>20</v>
      </c>
      <c r="G47" s="10">
        <f>+SUM(G46)</f>
        <v>6304.8</v>
      </c>
      <c r="H47" s="76" t="s">
        <v>31</v>
      </c>
      <c r="I47" s="77"/>
      <c r="J47" s="77"/>
      <c r="K47" s="77"/>
      <c r="L47" s="78"/>
      <c r="M47" s="11" t="s">
        <v>20</v>
      </c>
      <c r="N47" s="10">
        <f>+SUM(N46)</f>
        <v>6390</v>
      </c>
      <c r="O47" s="76" t="s">
        <v>31</v>
      </c>
      <c r="P47" s="77"/>
      <c r="Q47" s="77"/>
      <c r="R47" s="77"/>
      <c r="S47" s="78"/>
      <c r="T47" s="11" t="s">
        <v>20</v>
      </c>
      <c r="U47" s="10">
        <f>+SUM(U46)</f>
        <v>6304.8</v>
      </c>
    </row>
    <row r="48" spans="1:21" ht="15" thickBot="1">
      <c r="A48" s="79" t="s">
        <v>32</v>
      </c>
      <c r="B48" s="80"/>
      <c r="C48" s="80"/>
      <c r="D48" s="80"/>
      <c r="E48" s="80"/>
      <c r="F48" s="80"/>
      <c r="G48" s="44">
        <f>+SUM(G44+G47)</f>
        <v>6615.6916650000003</v>
      </c>
      <c r="H48" s="79" t="s">
        <v>32</v>
      </c>
      <c r="I48" s="80"/>
      <c r="J48" s="80"/>
      <c r="K48" s="80"/>
      <c r="L48" s="80"/>
      <c r="M48" s="80"/>
      <c r="N48" s="44">
        <f>+SUM(N44+N47)</f>
        <v>6701</v>
      </c>
      <c r="O48" s="79" t="s">
        <v>32</v>
      </c>
      <c r="P48" s="80"/>
      <c r="Q48" s="80"/>
      <c r="R48" s="80"/>
      <c r="S48" s="80"/>
      <c r="T48" s="80"/>
      <c r="U48" s="44">
        <f>+SUM(U44+U47)</f>
        <v>6615.8</v>
      </c>
    </row>
    <row r="49" spans="1:21" ht="15" thickBot="1">
      <c r="A49" s="23"/>
      <c r="B49" s="23"/>
      <c r="C49" s="23"/>
      <c r="D49" s="23"/>
      <c r="E49" s="23"/>
      <c r="F49" s="23"/>
      <c r="G49" s="23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</row>
    <row r="50" spans="1:21">
      <c r="A50" s="69" t="s">
        <v>58</v>
      </c>
      <c r="B50" s="69"/>
      <c r="C50" s="69"/>
      <c r="D50" s="69"/>
      <c r="E50" s="24" t="s">
        <v>59</v>
      </c>
      <c r="F50" s="25" t="s">
        <v>60</v>
      </c>
      <c r="G50" s="23"/>
      <c r="H50" s="69" t="s">
        <v>58</v>
      </c>
      <c r="I50" s="69"/>
      <c r="J50" s="69"/>
      <c r="K50" s="69"/>
      <c r="L50" s="24" t="s">
        <v>59</v>
      </c>
      <c r="M50" s="25" t="s">
        <v>60</v>
      </c>
      <c r="N50" s="4"/>
      <c r="O50" s="69" t="s">
        <v>58</v>
      </c>
      <c r="P50" s="69"/>
      <c r="Q50" s="69"/>
      <c r="R50" s="69"/>
      <c r="S50" s="24" t="s">
        <v>59</v>
      </c>
      <c r="T50" s="25" t="s">
        <v>60</v>
      </c>
      <c r="U50" s="4"/>
    </row>
    <row r="51" spans="1:21">
      <c r="A51" s="70" t="s">
        <v>36</v>
      </c>
      <c r="B51" s="70"/>
      <c r="C51" s="70"/>
      <c r="D51" s="70"/>
      <c r="E51" s="2">
        <v>10</v>
      </c>
      <c r="F51" s="26" t="s">
        <v>63</v>
      </c>
      <c r="G51" s="23"/>
      <c r="H51" s="70" t="s">
        <v>36</v>
      </c>
      <c r="I51" s="70"/>
      <c r="J51" s="70"/>
      <c r="K51" s="70"/>
      <c r="L51" s="2">
        <v>10</v>
      </c>
      <c r="M51" s="26" t="s">
        <v>63</v>
      </c>
      <c r="N51" s="4"/>
      <c r="O51" s="70" t="s">
        <v>36</v>
      </c>
      <c r="P51" s="70"/>
      <c r="Q51" s="70"/>
      <c r="R51" s="70"/>
      <c r="S51" s="2">
        <v>10</v>
      </c>
      <c r="T51" s="26" t="s">
        <v>63</v>
      </c>
      <c r="U51" s="4"/>
    </row>
    <row r="52" spans="1:21">
      <c r="A52" s="70" t="s">
        <v>37</v>
      </c>
      <c r="B52" s="70"/>
      <c r="C52" s="70"/>
      <c r="D52" s="70"/>
      <c r="E52" s="67">
        <v>6.25E-2</v>
      </c>
      <c r="F52" s="26" t="s">
        <v>64</v>
      </c>
      <c r="G52" s="23"/>
      <c r="H52" s="70" t="s">
        <v>37</v>
      </c>
      <c r="I52" s="70"/>
      <c r="J52" s="70"/>
      <c r="K52" s="70"/>
      <c r="L52" s="67">
        <v>6.25E-2</v>
      </c>
      <c r="M52" s="26" t="s">
        <v>64</v>
      </c>
      <c r="N52" s="4"/>
      <c r="O52" s="70" t="s">
        <v>37</v>
      </c>
      <c r="P52" s="70"/>
      <c r="Q52" s="70"/>
      <c r="R52" s="70"/>
      <c r="S52" s="67">
        <v>6.25E-2</v>
      </c>
      <c r="T52" s="26" t="s">
        <v>64</v>
      </c>
      <c r="U52" s="4"/>
    </row>
    <row r="53" spans="1:21">
      <c r="A53" s="71" t="s">
        <v>61</v>
      </c>
      <c r="B53" s="71"/>
      <c r="C53" s="71"/>
      <c r="D53" s="71"/>
      <c r="E53" s="2">
        <v>0.15</v>
      </c>
      <c r="F53" s="26" t="s">
        <v>88</v>
      </c>
      <c r="G53" s="23"/>
      <c r="H53" s="71" t="s">
        <v>61</v>
      </c>
      <c r="I53" s="71"/>
      <c r="J53" s="71"/>
      <c r="K53" s="71"/>
      <c r="L53" s="2">
        <v>0.15</v>
      </c>
      <c r="M53" s="26" t="s">
        <v>88</v>
      </c>
      <c r="N53" s="4"/>
      <c r="O53" s="71" t="s">
        <v>61</v>
      </c>
      <c r="P53" s="71"/>
      <c r="Q53" s="71"/>
      <c r="R53" s="71"/>
      <c r="S53" s="2">
        <v>0.15</v>
      </c>
      <c r="T53" s="26" t="s">
        <v>88</v>
      </c>
      <c r="U53" s="4"/>
    </row>
    <row r="54" spans="1:21" ht="15" thickBot="1">
      <c r="A54" s="72" t="s">
        <v>62</v>
      </c>
      <c r="B54" s="72"/>
      <c r="C54" s="72"/>
      <c r="D54" s="72"/>
      <c r="E54" s="27">
        <f>16*355</f>
        <v>5680</v>
      </c>
      <c r="F54" s="28" t="s">
        <v>65</v>
      </c>
      <c r="G54" s="23"/>
      <c r="H54" s="72" t="s">
        <v>62</v>
      </c>
      <c r="I54" s="72"/>
      <c r="J54" s="72"/>
      <c r="K54" s="72"/>
      <c r="L54" s="27">
        <f>16*355</f>
        <v>5680</v>
      </c>
      <c r="M54" s="28" t="s">
        <v>65</v>
      </c>
      <c r="N54" s="4"/>
      <c r="O54" s="72" t="s">
        <v>62</v>
      </c>
      <c r="P54" s="72"/>
      <c r="Q54" s="72"/>
      <c r="R54" s="72"/>
      <c r="S54" s="27">
        <f>16*355</f>
        <v>5680</v>
      </c>
      <c r="T54" s="28" t="s">
        <v>65</v>
      </c>
      <c r="U54" s="4"/>
    </row>
    <row r="55" spans="1:21">
      <c r="A55" s="23"/>
      <c r="B55" s="23"/>
      <c r="C55" s="23"/>
      <c r="D55" s="23"/>
      <c r="E55" s="23"/>
      <c r="F55" s="23"/>
      <c r="G55" s="23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</row>
  </sheetData>
  <mergeCells count="147">
    <mergeCell ref="O33:R33"/>
    <mergeCell ref="O19:R19"/>
    <mergeCell ref="O23:R23"/>
    <mergeCell ref="O24:R24"/>
    <mergeCell ref="O25:R25"/>
    <mergeCell ref="O26:R26"/>
    <mergeCell ref="O27:R27"/>
    <mergeCell ref="O48:T48"/>
    <mergeCell ref="O42:U42"/>
    <mergeCell ref="O43:R43"/>
    <mergeCell ref="O44:S44"/>
    <mergeCell ref="O45:U45"/>
    <mergeCell ref="O46:R46"/>
    <mergeCell ref="O47:S47"/>
    <mergeCell ref="O34:R34"/>
    <mergeCell ref="O35:R35"/>
    <mergeCell ref="O36:R37"/>
    <mergeCell ref="S36:S37"/>
    <mergeCell ref="O38:T38"/>
    <mergeCell ref="O40:U41"/>
    <mergeCell ref="H13:K13"/>
    <mergeCell ref="H14:K14"/>
    <mergeCell ref="O20:R20"/>
    <mergeCell ref="O21:R21"/>
    <mergeCell ref="O22:R22"/>
    <mergeCell ref="O29:R29"/>
    <mergeCell ref="O30:R31"/>
    <mergeCell ref="S30:S31"/>
    <mergeCell ref="O32:U32"/>
    <mergeCell ref="O13:R13"/>
    <mergeCell ref="O14:R14"/>
    <mergeCell ref="O17:R17"/>
    <mergeCell ref="O18:R18"/>
    <mergeCell ref="H24:K24"/>
    <mergeCell ref="H25:K25"/>
    <mergeCell ref="H26:K26"/>
    <mergeCell ref="H27:K27"/>
    <mergeCell ref="H28:K28"/>
    <mergeCell ref="H15:K15"/>
    <mergeCell ref="H16:K16"/>
    <mergeCell ref="H20:K20"/>
    <mergeCell ref="H21:K21"/>
    <mergeCell ref="H22:K22"/>
    <mergeCell ref="O5:R5"/>
    <mergeCell ref="O6:R6"/>
    <mergeCell ref="O7:R7"/>
    <mergeCell ref="O8:R9"/>
    <mergeCell ref="O28:R28"/>
    <mergeCell ref="H47:L47"/>
    <mergeCell ref="H48:M48"/>
    <mergeCell ref="H35:K35"/>
    <mergeCell ref="H36:K37"/>
    <mergeCell ref="L36:L37"/>
    <mergeCell ref="H38:M38"/>
    <mergeCell ref="H40:N41"/>
    <mergeCell ref="H42:N42"/>
    <mergeCell ref="H29:K29"/>
    <mergeCell ref="H30:K31"/>
    <mergeCell ref="L30:L31"/>
    <mergeCell ref="H32:N32"/>
    <mergeCell ref="H33:K33"/>
    <mergeCell ref="H34:K34"/>
    <mergeCell ref="H46:K46"/>
    <mergeCell ref="H43:K43"/>
    <mergeCell ref="H44:L44"/>
    <mergeCell ref="H45:N45"/>
    <mergeCell ref="H23:K23"/>
    <mergeCell ref="A46:D46"/>
    <mergeCell ref="A24:D24"/>
    <mergeCell ref="A25:D25"/>
    <mergeCell ref="A26:D26"/>
    <mergeCell ref="A27:D27"/>
    <mergeCell ref="A33:D33"/>
    <mergeCell ref="A34:D34"/>
    <mergeCell ref="A28:D28"/>
    <mergeCell ref="A29:D29"/>
    <mergeCell ref="A30:D31"/>
    <mergeCell ref="A43:D43"/>
    <mergeCell ref="A44:E44"/>
    <mergeCell ref="A45:G45"/>
    <mergeCell ref="A35:D35"/>
    <mergeCell ref="A36:D37"/>
    <mergeCell ref="E36:E37"/>
    <mergeCell ref="A38:F38"/>
    <mergeCell ref="E30:E31"/>
    <mergeCell ref="E8:E9"/>
    <mergeCell ref="A10:G10"/>
    <mergeCell ref="A32:G32"/>
    <mergeCell ref="A13:D13"/>
    <mergeCell ref="A14:D14"/>
    <mergeCell ref="A17:D17"/>
    <mergeCell ref="A18:D18"/>
    <mergeCell ref="A19:D19"/>
    <mergeCell ref="A23:D23"/>
    <mergeCell ref="A15:D15"/>
    <mergeCell ref="A16:D16"/>
    <mergeCell ref="A20:D20"/>
    <mergeCell ref="A21:D21"/>
    <mergeCell ref="A22:D22"/>
    <mergeCell ref="A5:D5"/>
    <mergeCell ref="A6:D6"/>
    <mergeCell ref="A11:D11"/>
    <mergeCell ref="A12:D12"/>
    <mergeCell ref="A1:G2"/>
    <mergeCell ref="H1:N2"/>
    <mergeCell ref="O1:U2"/>
    <mergeCell ref="A3:G4"/>
    <mergeCell ref="H3:N4"/>
    <mergeCell ref="O3:U4"/>
    <mergeCell ref="S8:S9"/>
    <mergeCell ref="O10:U10"/>
    <mergeCell ref="O11:R11"/>
    <mergeCell ref="O12:R12"/>
    <mergeCell ref="L8:L9"/>
    <mergeCell ref="H10:N10"/>
    <mergeCell ref="H11:K11"/>
    <mergeCell ref="H12:K12"/>
    <mergeCell ref="H5:K5"/>
    <mergeCell ref="H6:K6"/>
    <mergeCell ref="H7:K7"/>
    <mergeCell ref="H8:K9"/>
    <mergeCell ref="A7:D7"/>
    <mergeCell ref="A8:D9"/>
    <mergeCell ref="O50:R50"/>
    <mergeCell ref="O51:R51"/>
    <mergeCell ref="O52:R52"/>
    <mergeCell ref="O53:R53"/>
    <mergeCell ref="O54:R54"/>
    <mergeCell ref="O15:R15"/>
    <mergeCell ref="O16:R16"/>
    <mergeCell ref="A50:D50"/>
    <mergeCell ref="A51:D51"/>
    <mergeCell ref="A52:D52"/>
    <mergeCell ref="A53:D53"/>
    <mergeCell ref="A54:D54"/>
    <mergeCell ref="H50:K50"/>
    <mergeCell ref="H51:K51"/>
    <mergeCell ref="H52:K52"/>
    <mergeCell ref="H53:K53"/>
    <mergeCell ref="H54:K54"/>
    <mergeCell ref="A47:E47"/>
    <mergeCell ref="A48:F48"/>
    <mergeCell ref="H17:K17"/>
    <mergeCell ref="H18:K18"/>
    <mergeCell ref="H19:K19"/>
    <mergeCell ref="A40:G41"/>
    <mergeCell ref="A42:G42"/>
  </mergeCells>
  <printOptions horizontalCentered="1"/>
  <pageMargins left="0.70866141732283472" right="0.70866141732283472" top="1.5748031496062993" bottom="0.74803149606299213" header="0.31496062992125984" footer="0.31496062992125984"/>
  <pageSetup paperSize="9" scale="76" orientation="portrait" r:id="rId1"/>
  <headerFooter>
    <oddHeader xml:space="preserve">&amp;L&amp;G&amp;C
Estudio técnico-económico para el desarrollo de un sistema de 
carga de vehículos eléctricos en conjuntos residenciales: 
estudio de caso conjunto residencial
 Sabana Grande Reservado 4&amp;R
</oddHeader>
  </headerFooter>
  <colBreaks count="2" manualBreakCount="2">
    <brk id="7" max="57" man="1"/>
    <brk id="14" max="57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9D3ED2-3BD1-43DF-9B7B-8388BCE11E91}">
  <dimension ref="A1:N48"/>
  <sheetViews>
    <sheetView view="pageBreakPreview" zoomScaleNormal="100" zoomScaleSheetLayoutView="100" workbookViewId="0"/>
  </sheetViews>
  <sheetFormatPr baseColWidth="10" defaultRowHeight="14.4"/>
  <cols>
    <col min="1" max="1" width="14.77734375" customWidth="1"/>
    <col min="2" max="2" width="13.88671875" customWidth="1"/>
    <col min="3" max="3" width="14.44140625" customWidth="1"/>
    <col min="4" max="4" width="14.109375" customWidth="1"/>
    <col min="5" max="5" width="15.77734375" customWidth="1"/>
    <col min="6" max="6" width="17.33203125" customWidth="1"/>
    <col min="7" max="7" width="15.77734375" customWidth="1"/>
    <col min="8" max="10" width="9.5546875" customWidth="1"/>
    <col min="11" max="11" width="9.77734375" customWidth="1"/>
    <col min="12" max="12" width="15.77734375" customWidth="1"/>
    <col min="13" max="14" width="17.33203125" customWidth="1"/>
    <col min="15" max="17" width="9.5546875" customWidth="1"/>
    <col min="18" max="18" width="9.77734375" customWidth="1"/>
    <col min="19" max="19" width="15.77734375" customWidth="1"/>
    <col min="20" max="21" width="17.33203125" customWidth="1"/>
  </cols>
  <sheetData>
    <row r="1" spans="1:7">
      <c r="A1" s="20"/>
      <c r="B1" s="20"/>
      <c r="C1" s="20"/>
      <c r="D1" s="20"/>
      <c r="E1" s="20"/>
      <c r="F1" s="20"/>
      <c r="G1" s="20"/>
    </row>
    <row r="2" spans="1:7" ht="15" thickBot="1">
      <c r="A2" s="20"/>
      <c r="B2" s="20"/>
      <c r="C2" s="20"/>
      <c r="D2" s="20"/>
      <c r="E2" s="20"/>
      <c r="F2" s="20"/>
      <c r="G2" s="20"/>
    </row>
    <row r="3" spans="1:7">
      <c r="A3" s="12" t="s">
        <v>33</v>
      </c>
      <c r="B3" s="13" t="s">
        <v>34</v>
      </c>
      <c r="C3" s="14" t="s">
        <v>35</v>
      </c>
      <c r="D3" s="20"/>
      <c r="E3" s="20"/>
      <c r="F3" s="20"/>
      <c r="G3" s="20"/>
    </row>
    <row r="4" spans="1:7">
      <c r="A4" s="15" t="s">
        <v>36</v>
      </c>
      <c r="B4" s="16">
        <v>10</v>
      </c>
      <c r="C4" s="17" t="s">
        <v>38</v>
      </c>
      <c r="D4" s="20"/>
      <c r="E4" s="20"/>
      <c r="F4" s="20"/>
      <c r="G4" s="20"/>
    </row>
    <row r="5" spans="1:7" ht="15" thickBot="1">
      <c r="A5" s="18" t="s">
        <v>37</v>
      </c>
      <c r="B5" s="61">
        <v>6.25E-2</v>
      </c>
      <c r="C5" s="19" t="s">
        <v>39</v>
      </c>
      <c r="D5" s="20"/>
      <c r="E5" s="20"/>
      <c r="F5" s="20"/>
      <c r="G5" s="20"/>
    </row>
    <row r="6" spans="1:7">
      <c r="A6" s="20"/>
      <c r="B6" s="20"/>
      <c r="C6" s="20"/>
      <c r="D6" s="20"/>
      <c r="E6" s="20"/>
      <c r="F6" s="20"/>
      <c r="G6" s="20"/>
    </row>
    <row r="7" spans="1:7" ht="15" thickBot="1">
      <c r="A7" s="20"/>
      <c r="B7" s="20"/>
      <c r="C7" s="20"/>
      <c r="D7" s="20"/>
      <c r="E7" s="20"/>
      <c r="F7" s="20"/>
      <c r="G7" s="20"/>
    </row>
    <row r="8" spans="1:7">
      <c r="A8" s="113" t="s">
        <v>40</v>
      </c>
      <c r="B8" s="114"/>
      <c r="C8" s="114"/>
      <c r="D8" s="114"/>
      <c r="E8" s="114"/>
      <c r="F8" s="115"/>
      <c r="G8" s="20"/>
    </row>
    <row r="9" spans="1:7">
      <c r="A9" s="116" t="s">
        <v>41</v>
      </c>
      <c r="B9" s="117"/>
      <c r="C9" s="117"/>
      <c r="D9" s="117"/>
      <c r="E9" s="117"/>
      <c r="F9" s="118"/>
      <c r="G9" s="20"/>
    </row>
    <row r="10" spans="1:7">
      <c r="A10" s="116" t="s">
        <v>42</v>
      </c>
      <c r="B10" s="117"/>
      <c r="C10" s="117"/>
      <c r="D10" s="117"/>
      <c r="E10" s="117"/>
      <c r="F10" s="118"/>
      <c r="G10" s="20"/>
    </row>
    <row r="11" spans="1:7">
      <c r="A11" s="116" t="s">
        <v>43</v>
      </c>
      <c r="B11" s="117"/>
      <c r="C11" s="117"/>
      <c r="D11" s="117"/>
      <c r="E11" s="117"/>
      <c r="F11" s="118"/>
      <c r="G11" s="20"/>
    </row>
    <row r="12" spans="1:7" ht="15" thickBot="1">
      <c r="A12" s="119" t="s">
        <v>78</v>
      </c>
      <c r="B12" s="120"/>
      <c r="C12" s="120"/>
      <c r="D12" s="120"/>
      <c r="E12" s="120"/>
      <c r="F12" s="121"/>
      <c r="G12" s="20"/>
    </row>
    <row r="13" spans="1:7">
      <c r="A13" s="20"/>
      <c r="B13" s="20"/>
      <c r="C13" s="20"/>
      <c r="D13" s="20"/>
      <c r="E13" s="20"/>
      <c r="F13" s="20"/>
      <c r="G13" s="20"/>
    </row>
    <row r="14" spans="1:7">
      <c r="A14" s="20"/>
      <c r="B14" s="20"/>
      <c r="C14" s="20"/>
      <c r="D14" s="20"/>
      <c r="E14" s="20"/>
      <c r="F14" s="20"/>
      <c r="G14" s="20"/>
    </row>
    <row r="15" spans="1:7">
      <c r="A15" s="20" t="s">
        <v>70</v>
      </c>
      <c r="B15" s="122" t="s">
        <v>44</v>
      </c>
      <c r="C15" s="122"/>
      <c r="D15" s="122"/>
      <c r="E15" s="122"/>
      <c r="F15" s="122"/>
      <c r="G15" s="20"/>
    </row>
    <row r="16" spans="1:7">
      <c r="A16" s="20" t="s">
        <v>45</v>
      </c>
      <c r="B16" s="122" t="s">
        <v>46</v>
      </c>
      <c r="C16" s="122"/>
      <c r="D16" s="122"/>
      <c r="E16" s="122"/>
      <c r="F16" s="122"/>
      <c r="G16" s="20"/>
    </row>
    <row r="17" spans="1:7">
      <c r="A17" s="20" t="s">
        <v>47</v>
      </c>
      <c r="B17" s="122" t="s">
        <v>48</v>
      </c>
      <c r="C17" s="122"/>
      <c r="D17" s="122"/>
      <c r="E17" s="122"/>
      <c r="F17" s="122"/>
      <c r="G17" s="20"/>
    </row>
    <row r="18" spans="1:7">
      <c r="A18" s="20" t="s">
        <v>49</v>
      </c>
      <c r="B18" s="122" t="s">
        <v>50</v>
      </c>
      <c r="C18" s="122"/>
      <c r="D18" s="122"/>
      <c r="E18" s="122"/>
      <c r="F18" s="122"/>
      <c r="G18" s="20"/>
    </row>
    <row r="19" spans="1:7">
      <c r="A19" s="20"/>
      <c r="B19" s="40"/>
      <c r="C19" s="40"/>
      <c r="D19" s="40"/>
      <c r="E19" s="40"/>
      <c r="F19" s="40"/>
      <c r="G19" s="20"/>
    </row>
    <row r="20" spans="1:7" ht="15" thickBot="1">
      <c r="A20" s="20"/>
      <c r="B20" s="20"/>
      <c r="C20" s="20"/>
      <c r="D20" s="20"/>
      <c r="E20" s="20"/>
      <c r="F20" s="20"/>
      <c r="G20" s="20"/>
    </row>
    <row r="21" spans="1:7" ht="28.2" customHeight="1">
      <c r="A21" s="12" t="s">
        <v>71</v>
      </c>
      <c r="B21" s="33" t="s">
        <v>72</v>
      </c>
      <c r="C21" s="33" t="s">
        <v>73</v>
      </c>
      <c r="D21" s="34" t="s">
        <v>74</v>
      </c>
      <c r="E21" s="35" t="s">
        <v>49</v>
      </c>
      <c r="F21" s="20"/>
      <c r="G21" s="20"/>
    </row>
    <row r="22" spans="1:7">
      <c r="A22" s="36" t="s">
        <v>82</v>
      </c>
      <c r="B22" s="50">
        <f>'Análisis Financiero'!G38</f>
        <v>2072.6111000000001</v>
      </c>
      <c r="C22" s="50">
        <f>'Análisis Financiero'!G48</f>
        <v>6615.6916650000003</v>
      </c>
      <c r="D22" s="50">
        <f>-PV(B$5,B$4,C22,0,0)</f>
        <v>48120.495849457817</v>
      </c>
      <c r="E22" s="52">
        <f>+D22+B22</f>
        <v>50193.106949457819</v>
      </c>
      <c r="F22" s="20"/>
      <c r="G22" s="20"/>
    </row>
    <row r="23" spans="1:7">
      <c r="A23" s="36" t="s">
        <v>83</v>
      </c>
      <c r="B23" s="50">
        <f>'Análisis Financiero'!N38</f>
        <v>2034.5006302747274</v>
      </c>
      <c r="C23" s="50">
        <f>'Análisis Financiero'!N48</f>
        <v>6701</v>
      </c>
      <c r="D23" s="50">
        <f t="shared" ref="D23" si="0">-PV(B$5,B$4,C23,0,0)</f>
        <v>48741.002304135771</v>
      </c>
      <c r="E23" s="52">
        <f t="shared" ref="E23" si="1">+D23+B23</f>
        <v>50775.502934410499</v>
      </c>
      <c r="F23" s="20"/>
      <c r="G23" s="20"/>
    </row>
    <row r="24" spans="1:7" ht="15" thickBot="1">
      <c r="A24" s="37" t="s">
        <v>84</v>
      </c>
      <c r="B24" s="51">
        <f>'Análisis Financiero'!U38</f>
        <v>2765.3785267620387</v>
      </c>
      <c r="C24" s="51">
        <f>'Análisis Financiero'!U48</f>
        <v>6615.8</v>
      </c>
      <c r="D24" s="64">
        <f>-PV(B$5,B$4,C24,0,0)</f>
        <v>48121.283844754733</v>
      </c>
      <c r="E24" s="53">
        <f>+D24+B24</f>
        <v>50886.662371516773</v>
      </c>
      <c r="F24" s="20"/>
      <c r="G24" s="20"/>
    </row>
    <row r="25" spans="1:7">
      <c r="A25" s="20"/>
      <c r="B25" s="20"/>
      <c r="C25" s="20"/>
      <c r="D25" s="20"/>
      <c r="E25" s="20"/>
      <c r="F25" s="20"/>
      <c r="G25" s="20"/>
    </row>
    <row r="26" spans="1:7">
      <c r="A26" s="20"/>
      <c r="B26" s="20"/>
      <c r="C26" s="20"/>
      <c r="D26" s="20"/>
      <c r="E26" s="20"/>
      <c r="F26" s="20"/>
      <c r="G26" s="20"/>
    </row>
    <row r="27" spans="1:7">
      <c r="A27" s="123" t="s">
        <v>94</v>
      </c>
      <c r="B27" s="123"/>
      <c r="C27" s="123"/>
      <c r="D27" s="123"/>
      <c r="E27" s="124" t="str">
        <f>'Selección Oferente'!C5</f>
        <v>PROPUESTA 1</v>
      </c>
      <c r="F27" s="124"/>
      <c r="G27" s="20"/>
    </row>
    <row r="28" spans="1:7">
      <c r="A28" s="123"/>
      <c r="B28" s="123"/>
      <c r="C28" s="123"/>
      <c r="D28" s="123"/>
      <c r="E28" s="124"/>
      <c r="F28" s="124"/>
      <c r="G28" s="20"/>
    </row>
    <row r="29" spans="1:7">
      <c r="A29" s="20"/>
      <c r="B29" s="20"/>
      <c r="C29" s="20"/>
      <c r="D29" s="20"/>
      <c r="E29" s="20"/>
      <c r="F29" s="20"/>
      <c r="G29" s="20"/>
    </row>
    <row r="30" spans="1:7">
      <c r="A30" s="20"/>
      <c r="B30" s="20"/>
      <c r="C30" s="20"/>
      <c r="D30" s="20"/>
      <c r="E30" s="20"/>
      <c r="F30" s="20"/>
      <c r="G30" s="20"/>
    </row>
    <row r="31" spans="1:7">
      <c r="A31" s="20"/>
      <c r="B31" s="20"/>
      <c r="C31" s="20"/>
      <c r="D31" s="20"/>
      <c r="E31" s="20"/>
      <c r="F31" s="20"/>
      <c r="G31" s="20"/>
    </row>
    <row r="32" spans="1:7">
      <c r="A32" s="20"/>
      <c r="B32" s="20"/>
      <c r="C32" s="20"/>
      <c r="D32" s="20"/>
      <c r="E32" s="20"/>
      <c r="F32" s="20"/>
      <c r="G32" s="20"/>
    </row>
    <row r="33" spans="1:14">
      <c r="A33" s="20"/>
      <c r="B33" s="20"/>
      <c r="C33" s="20"/>
      <c r="D33" s="20"/>
      <c r="E33" s="20"/>
      <c r="F33" s="20"/>
      <c r="G33" s="20"/>
    </row>
    <row r="34" spans="1:14">
      <c r="A34" s="20"/>
      <c r="B34" s="20"/>
      <c r="C34" s="20"/>
      <c r="D34" s="20"/>
      <c r="E34" s="20"/>
      <c r="F34" s="20"/>
      <c r="G34" s="20"/>
    </row>
    <row r="35" spans="1:14">
      <c r="A35" s="20"/>
      <c r="B35" s="20"/>
      <c r="C35" s="20"/>
      <c r="D35" s="20"/>
      <c r="E35" s="20"/>
      <c r="F35" s="20"/>
      <c r="G35" s="20"/>
    </row>
    <row r="36" spans="1:14">
      <c r="A36" s="20"/>
      <c r="B36" s="20"/>
      <c r="C36" s="20"/>
      <c r="D36" s="20"/>
      <c r="E36" s="20"/>
      <c r="F36" s="20"/>
      <c r="G36" s="20"/>
    </row>
    <row r="37" spans="1:14">
      <c r="A37" s="20"/>
      <c r="B37" s="20"/>
      <c r="C37" s="20"/>
      <c r="D37" s="20"/>
      <c r="E37" s="20"/>
      <c r="F37" s="20"/>
      <c r="G37" s="20"/>
    </row>
    <row r="38" spans="1:14">
      <c r="A38" s="20"/>
      <c r="B38" s="20"/>
      <c r="C38" s="20"/>
      <c r="D38" s="20"/>
      <c r="E38" s="20"/>
      <c r="F38" s="20"/>
      <c r="G38" s="20"/>
    </row>
    <row r="39" spans="1:14">
      <c r="A39" s="20"/>
      <c r="B39" s="20"/>
      <c r="C39" s="20"/>
      <c r="D39" s="20"/>
      <c r="E39" s="20"/>
      <c r="F39" s="20"/>
      <c r="G39" s="20"/>
    </row>
    <row r="40" spans="1:14">
      <c r="A40" s="20"/>
      <c r="B40" s="20"/>
      <c r="C40" s="20"/>
      <c r="D40" s="20"/>
      <c r="E40" s="20"/>
      <c r="F40" s="20"/>
      <c r="G40" s="20"/>
    </row>
    <row r="41" spans="1:14">
      <c r="A41" s="20"/>
      <c r="B41" s="20"/>
      <c r="C41" s="20"/>
      <c r="D41" s="20"/>
      <c r="E41" s="20"/>
      <c r="F41" s="20"/>
      <c r="G41" s="20"/>
    </row>
    <row r="42" spans="1:14">
      <c r="A42" s="20"/>
      <c r="B42" s="20"/>
      <c r="C42" s="20"/>
      <c r="D42" s="20"/>
      <c r="E42" s="20"/>
      <c r="F42" s="20"/>
      <c r="G42" s="20"/>
    </row>
    <row r="43" spans="1:14">
      <c r="A43" s="20"/>
      <c r="B43" s="20"/>
      <c r="C43" s="20"/>
      <c r="D43" s="20"/>
      <c r="E43" s="20"/>
      <c r="F43" s="20"/>
      <c r="G43" s="20"/>
    </row>
    <row r="44" spans="1:14">
      <c r="A44" s="20"/>
      <c r="B44" s="20"/>
      <c r="C44" s="20"/>
      <c r="D44" s="20"/>
      <c r="E44" s="20"/>
      <c r="F44" s="20"/>
      <c r="G44" s="20"/>
    </row>
    <row r="45" spans="1:14">
      <c r="A45" s="20"/>
      <c r="B45" s="20"/>
      <c r="C45" s="20"/>
      <c r="D45" s="20"/>
      <c r="E45" s="20"/>
      <c r="F45" s="20"/>
      <c r="G45" s="20"/>
    </row>
    <row r="46" spans="1:14">
      <c r="A46" s="20"/>
      <c r="B46" s="20"/>
      <c r="C46" s="20"/>
      <c r="D46" s="20"/>
      <c r="E46" s="20"/>
      <c r="F46" s="20"/>
      <c r="G46" s="20"/>
      <c r="H46" s="4"/>
      <c r="I46" s="4"/>
      <c r="J46" s="4"/>
      <c r="K46" s="4"/>
      <c r="L46" s="4"/>
      <c r="M46" s="4"/>
      <c r="N46" s="4"/>
    </row>
    <row r="47" spans="1:14">
      <c r="A47" s="20"/>
      <c r="B47" s="20"/>
      <c r="C47" s="20"/>
      <c r="D47" s="20"/>
      <c r="E47" s="20"/>
      <c r="F47" s="20"/>
      <c r="G47" s="20"/>
    </row>
    <row r="48" spans="1:14">
      <c r="G48" s="20"/>
    </row>
  </sheetData>
  <mergeCells count="11">
    <mergeCell ref="B15:F15"/>
    <mergeCell ref="B16:F16"/>
    <mergeCell ref="B17:F17"/>
    <mergeCell ref="B18:F18"/>
    <mergeCell ref="A27:D28"/>
    <mergeCell ref="E27:F28"/>
    <mergeCell ref="A8:F8"/>
    <mergeCell ref="A9:F9"/>
    <mergeCell ref="A10:F10"/>
    <mergeCell ref="A11:F11"/>
    <mergeCell ref="A12:F12"/>
  </mergeCells>
  <printOptions horizontalCentered="1"/>
  <pageMargins left="0.70866141732283472" right="0.70866141732283472" top="1.5748031496062993" bottom="0.74803149606299213" header="0.31496062992125984" footer="0.31496062992125984"/>
  <pageSetup paperSize="9" scale="90" orientation="portrait" r:id="rId1"/>
  <headerFooter>
    <oddHeader xml:space="preserve">&amp;L&amp;G&amp;C
Estudio técnico-económico para el desarrollo de un sistema de 
carga de vehículos eléctricos en conjuntos residenciales: 
estudio de caso conjunto residencial
 Sabana Grande Reservado 4&amp;R
</oddHeader>
  </headerFooter>
  <colBreaks count="2" manualBreakCount="2">
    <brk id="7" max="46" man="1"/>
    <brk id="14" max="46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CF234-A382-4141-BCAC-46D3AC19F5A3}">
  <dimension ref="B2:C13"/>
  <sheetViews>
    <sheetView workbookViewId="0"/>
  </sheetViews>
  <sheetFormatPr baseColWidth="10" defaultRowHeight="14.4"/>
  <cols>
    <col min="2" max="2" width="14.5546875" customWidth="1"/>
    <col min="3" max="3" width="13.21875" customWidth="1"/>
  </cols>
  <sheetData>
    <row r="2" spans="2:3" ht="26.4">
      <c r="B2" s="49" t="s">
        <v>80</v>
      </c>
      <c r="C2" s="54" t="s">
        <v>87</v>
      </c>
    </row>
    <row r="3" spans="2:3">
      <c r="B3" s="39">
        <v>2017</v>
      </c>
      <c r="C3" s="39">
        <v>4.09</v>
      </c>
    </row>
    <row r="4" spans="2:3">
      <c r="B4" s="39">
        <v>2018</v>
      </c>
      <c r="C4" s="39">
        <v>3.18</v>
      </c>
    </row>
    <row r="5" spans="2:3">
      <c r="B5" s="39">
        <v>2019</v>
      </c>
      <c r="C5" s="39">
        <v>3.8</v>
      </c>
    </row>
    <row r="6" spans="2:3">
      <c r="B6" s="39">
        <v>2020</v>
      </c>
      <c r="C6" s="39">
        <v>1.61</v>
      </c>
    </row>
    <row r="7" spans="2:3">
      <c r="B7" s="39">
        <v>2021</v>
      </c>
      <c r="C7" s="39">
        <v>5.62</v>
      </c>
    </row>
    <row r="8" spans="2:3">
      <c r="B8" s="39">
        <v>2022</v>
      </c>
      <c r="C8" s="39">
        <v>12.22</v>
      </c>
    </row>
    <row r="9" spans="2:3">
      <c r="B9" s="55">
        <v>2023</v>
      </c>
      <c r="C9" s="55">
        <v>13.2</v>
      </c>
    </row>
    <row r="10" spans="2:3">
      <c r="B10" s="38" t="s">
        <v>81</v>
      </c>
      <c r="C10" s="48">
        <f>+AVERAGE(C3:C9)</f>
        <v>6.2457142857142856</v>
      </c>
    </row>
    <row r="11" spans="2:3">
      <c r="B11" s="1"/>
      <c r="C11" s="1"/>
    </row>
    <row r="12" spans="2:3">
      <c r="B12" s="1"/>
      <c r="C12" s="1"/>
    </row>
    <row r="13" spans="2:3">
      <c r="B13" s="1"/>
      <c r="C13" s="1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20853-FEB1-463A-A933-9638D74A1E22}">
  <dimension ref="A1:N54"/>
  <sheetViews>
    <sheetView showGridLines="0" view="pageBreakPreview" zoomScaleNormal="100" zoomScaleSheetLayoutView="100" workbookViewId="0"/>
  </sheetViews>
  <sheetFormatPr baseColWidth="10" defaultRowHeight="14.4"/>
  <cols>
    <col min="1" max="1" width="14.77734375" customWidth="1"/>
    <col min="2" max="2" width="13.88671875" customWidth="1"/>
    <col min="3" max="3" width="14.44140625" customWidth="1"/>
    <col min="4" max="4" width="14.109375" customWidth="1"/>
    <col min="5" max="5" width="15.77734375" customWidth="1"/>
    <col min="6" max="6" width="17.33203125" customWidth="1"/>
    <col min="7" max="7" width="15.77734375" customWidth="1"/>
    <col min="8" max="10" width="9.5546875" customWidth="1"/>
    <col min="11" max="11" width="9.77734375" customWidth="1"/>
    <col min="12" max="12" width="15.77734375" customWidth="1"/>
    <col min="13" max="14" width="17.33203125" customWidth="1"/>
    <col min="15" max="17" width="9.5546875" customWidth="1"/>
    <col min="18" max="18" width="9.77734375" customWidth="1"/>
    <col min="19" max="19" width="15.77734375" customWidth="1"/>
    <col min="20" max="21" width="17.33203125" customWidth="1"/>
  </cols>
  <sheetData>
    <row r="1" spans="1:7">
      <c r="A1" s="20"/>
      <c r="B1" s="20"/>
      <c r="C1" s="20"/>
      <c r="D1" s="20"/>
      <c r="E1" s="20"/>
      <c r="F1" s="20"/>
      <c r="G1" s="20"/>
    </row>
    <row r="2" spans="1:7" ht="15" thickBot="1">
      <c r="A2" s="20"/>
      <c r="B2" s="20"/>
      <c r="C2" s="20"/>
      <c r="D2" s="20"/>
      <c r="E2" s="20"/>
      <c r="F2" s="20"/>
      <c r="G2" s="20"/>
    </row>
    <row r="3" spans="1:7">
      <c r="A3" s="12" t="s">
        <v>33</v>
      </c>
      <c r="B3" s="13" t="s">
        <v>34</v>
      </c>
      <c r="C3" s="14" t="s">
        <v>35</v>
      </c>
      <c r="D3" s="20"/>
      <c r="E3" s="20"/>
      <c r="F3" s="20"/>
      <c r="G3" s="20"/>
    </row>
    <row r="4" spans="1:7">
      <c r="A4" s="15" t="s">
        <v>36</v>
      </c>
      <c r="B4" s="16">
        <v>10</v>
      </c>
      <c r="C4" s="17" t="s">
        <v>38</v>
      </c>
      <c r="D4" s="20"/>
      <c r="E4" s="20"/>
      <c r="F4" s="20"/>
      <c r="G4" s="20"/>
    </row>
    <row r="5" spans="1:7" ht="15" thickBot="1">
      <c r="A5" s="18" t="s">
        <v>37</v>
      </c>
      <c r="B5" s="61">
        <v>6.25E-2</v>
      </c>
      <c r="C5" s="19" t="s">
        <v>39</v>
      </c>
      <c r="D5" s="20"/>
      <c r="E5" s="20"/>
      <c r="F5" s="20"/>
      <c r="G5" s="20"/>
    </row>
    <row r="6" spans="1:7">
      <c r="A6" s="20"/>
      <c r="B6" s="20"/>
      <c r="C6" s="20"/>
      <c r="D6" s="20"/>
      <c r="E6" s="20"/>
      <c r="F6" s="20"/>
      <c r="G6" s="20"/>
    </row>
    <row r="7" spans="1:7">
      <c r="A7" s="20"/>
      <c r="B7" s="20"/>
      <c r="C7" s="20"/>
      <c r="D7" s="20"/>
      <c r="E7" s="20"/>
      <c r="F7" s="20"/>
      <c r="G7" s="20"/>
    </row>
    <row r="8" spans="1:7">
      <c r="A8" s="125" t="s">
        <v>82</v>
      </c>
      <c r="B8" s="125"/>
      <c r="C8" s="125"/>
      <c r="D8" s="125"/>
      <c r="E8" s="20"/>
      <c r="F8" s="20"/>
      <c r="G8" s="20"/>
    </row>
    <row r="9" spans="1:7">
      <c r="A9" s="125"/>
      <c r="B9" s="125"/>
      <c r="C9" s="125"/>
      <c r="D9" s="125"/>
      <c r="E9" s="20"/>
      <c r="F9" s="20"/>
      <c r="G9" s="20"/>
    </row>
    <row r="10" spans="1:7">
      <c r="A10" s="57" t="s">
        <v>89</v>
      </c>
      <c r="B10" s="57" t="s">
        <v>90</v>
      </c>
      <c r="C10" s="57" t="s">
        <v>91</v>
      </c>
      <c r="D10" s="57" t="s">
        <v>92</v>
      </c>
      <c r="E10" s="20"/>
      <c r="F10" s="20"/>
      <c r="G10" s="20"/>
    </row>
    <row r="11" spans="1:7">
      <c r="A11" s="59">
        <v>0</v>
      </c>
      <c r="B11" s="59"/>
      <c r="C11" s="60">
        <f>+'Análisis Financiero'!G38</f>
        <v>2072.6111000000001</v>
      </c>
      <c r="D11" s="60">
        <f>-B11-C11</f>
        <v>-2072.6111000000001</v>
      </c>
      <c r="E11" s="20"/>
      <c r="F11" s="20"/>
      <c r="G11" s="20"/>
    </row>
    <row r="12" spans="1:7">
      <c r="A12" s="59">
        <v>1</v>
      </c>
      <c r="B12" s="60">
        <f>+((('Análisis Financiero'!G$48)/'Análisis Financiero'!E$54)*1.2)*(16*355)</f>
        <v>7938.8299980000002</v>
      </c>
      <c r="C12" s="60">
        <f>+VPN!C22</f>
        <v>6615.6916650000003</v>
      </c>
      <c r="D12" s="60">
        <f>B12-C12</f>
        <v>1323.1383329999999</v>
      </c>
      <c r="E12" s="20"/>
      <c r="F12" s="65" t="s">
        <v>49</v>
      </c>
      <c r="G12" s="20"/>
    </row>
    <row r="13" spans="1:7">
      <c r="A13" s="59">
        <v>2</v>
      </c>
      <c r="B13" s="60">
        <f>+((('Análisis Financiero'!G$48)/'Análisis Financiero'!E$54)*1.2)*(16*355)</f>
        <v>7938.8299980000002</v>
      </c>
      <c r="C13" s="60">
        <f>+VPN!C22</f>
        <v>6615.6916650000003</v>
      </c>
      <c r="D13" s="60">
        <f t="shared" ref="D13:D21" si="0">B13-C13</f>
        <v>1323.1383329999999</v>
      </c>
      <c r="E13" s="20"/>
      <c r="F13" s="58">
        <f>+NPV(B5,D12:D21)+D11</f>
        <v>7551.4880698915622</v>
      </c>
      <c r="G13" s="20"/>
    </row>
    <row r="14" spans="1:7">
      <c r="A14" s="59">
        <v>3</v>
      </c>
      <c r="B14" s="60">
        <f>+((('Análisis Financiero'!G$48)/'Análisis Financiero'!E$54)*1.2)*(16*355)</f>
        <v>7938.8299980000002</v>
      </c>
      <c r="C14" s="60">
        <f>+VPN!C22</f>
        <v>6615.6916650000003</v>
      </c>
      <c r="D14" s="60">
        <f t="shared" si="0"/>
        <v>1323.1383329999999</v>
      </c>
      <c r="E14" s="20"/>
      <c r="F14" s="20"/>
      <c r="G14" s="20"/>
    </row>
    <row r="15" spans="1:7">
      <c r="A15" s="59">
        <v>4</v>
      </c>
      <c r="B15" s="60">
        <f>+((('Análisis Financiero'!G$48)/'Análisis Financiero'!E$54)*1.2)*(16*355)</f>
        <v>7938.8299980000002</v>
      </c>
      <c r="C15" s="60">
        <f>+VPN!C22</f>
        <v>6615.6916650000003</v>
      </c>
      <c r="D15" s="60">
        <f t="shared" si="0"/>
        <v>1323.1383329999999</v>
      </c>
      <c r="E15" s="20"/>
      <c r="F15" s="20"/>
      <c r="G15" s="20"/>
    </row>
    <row r="16" spans="1:7">
      <c r="A16" s="59">
        <v>5</v>
      </c>
      <c r="B16" s="60">
        <f>+((('Análisis Financiero'!G$48)/'Análisis Financiero'!E$54)*1.2)*(16*355)</f>
        <v>7938.8299980000002</v>
      </c>
      <c r="C16" s="60">
        <f>+VPN!C22</f>
        <v>6615.6916650000003</v>
      </c>
      <c r="D16" s="60">
        <f t="shared" si="0"/>
        <v>1323.1383329999999</v>
      </c>
      <c r="E16" s="20"/>
      <c r="F16" s="20"/>
      <c r="G16" s="20"/>
    </row>
    <row r="17" spans="1:7">
      <c r="A17" s="59">
        <v>6</v>
      </c>
      <c r="B17" s="60">
        <f>+((('Análisis Financiero'!G$48)/'Análisis Financiero'!E$54)*1.2)*(16*355)</f>
        <v>7938.8299980000002</v>
      </c>
      <c r="C17" s="60">
        <f>+VPN!C22</f>
        <v>6615.6916650000003</v>
      </c>
      <c r="D17" s="60">
        <f t="shared" si="0"/>
        <v>1323.1383329999999</v>
      </c>
      <c r="E17" s="20"/>
      <c r="F17" s="20"/>
      <c r="G17" s="20"/>
    </row>
    <row r="18" spans="1:7">
      <c r="A18" s="59">
        <v>7</v>
      </c>
      <c r="B18" s="60">
        <f>+((('Análisis Financiero'!G$48)/'Análisis Financiero'!E$54)*1.2)*(16*355)</f>
        <v>7938.8299980000002</v>
      </c>
      <c r="C18" s="60">
        <f>+VPN!C22</f>
        <v>6615.6916650000003</v>
      </c>
      <c r="D18" s="60">
        <f t="shared" si="0"/>
        <v>1323.1383329999999</v>
      </c>
      <c r="E18" s="20"/>
      <c r="F18" s="20"/>
      <c r="G18" s="20"/>
    </row>
    <row r="19" spans="1:7">
      <c r="A19" s="59">
        <v>8</v>
      </c>
      <c r="B19" s="60">
        <f>+((('Análisis Financiero'!G$48)/'Análisis Financiero'!E$54)*1.2)*(16*355)</f>
        <v>7938.8299980000002</v>
      </c>
      <c r="C19" s="60">
        <f>+VPN!C22</f>
        <v>6615.6916650000003</v>
      </c>
      <c r="D19" s="60">
        <f t="shared" si="0"/>
        <v>1323.1383329999999</v>
      </c>
      <c r="E19" s="20"/>
      <c r="F19" s="20"/>
      <c r="G19" s="20"/>
    </row>
    <row r="20" spans="1:7">
      <c r="A20" s="59">
        <v>9</v>
      </c>
      <c r="B20" s="60">
        <f>+((('Análisis Financiero'!G$48)/'Análisis Financiero'!E$54)*1.2)*(16*355)</f>
        <v>7938.8299980000002</v>
      </c>
      <c r="C20" s="60">
        <f>+VPN!C22</f>
        <v>6615.6916650000003</v>
      </c>
      <c r="D20" s="60">
        <f t="shared" si="0"/>
        <v>1323.1383329999999</v>
      </c>
      <c r="E20" s="20"/>
      <c r="F20" s="20"/>
      <c r="G20" s="20"/>
    </row>
    <row r="21" spans="1:7">
      <c r="A21" s="59">
        <v>10</v>
      </c>
      <c r="B21" s="60">
        <f>+((('Análisis Financiero'!G$48)/'Análisis Financiero'!E$54)*1.2)*(16*355)</f>
        <v>7938.8299980000002</v>
      </c>
      <c r="C21" s="60">
        <f>+VPN!C22</f>
        <v>6615.6916650000003</v>
      </c>
      <c r="D21" s="60">
        <f t="shared" si="0"/>
        <v>1323.1383329999999</v>
      </c>
      <c r="E21" s="20"/>
      <c r="F21" s="20"/>
      <c r="G21" s="20"/>
    </row>
    <row r="22" spans="1:7">
      <c r="A22" s="62"/>
      <c r="B22" s="63"/>
      <c r="C22" s="63"/>
      <c r="D22" s="60">
        <f>SUM(D11:D21)</f>
        <v>11158.772229999999</v>
      </c>
      <c r="E22" s="20"/>
      <c r="F22" s="20"/>
      <c r="G22" s="20"/>
    </row>
    <row r="23" spans="1:7">
      <c r="A23" s="20"/>
      <c r="B23" s="20"/>
      <c r="C23" s="20"/>
      <c r="D23" s="20"/>
      <c r="E23" s="20"/>
      <c r="F23" s="20"/>
      <c r="G23" s="20"/>
    </row>
    <row r="24" spans="1:7">
      <c r="A24" s="125" t="s">
        <v>83</v>
      </c>
      <c r="B24" s="125"/>
      <c r="C24" s="125"/>
      <c r="D24" s="125"/>
      <c r="E24" s="20"/>
      <c r="F24" s="20"/>
      <c r="G24" s="20"/>
    </row>
    <row r="25" spans="1:7">
      <c r="A25" s="125"/>
      <c r="B25" s="125"/>
      <c r="C25" s="125"/>
      <c r="D25" s="125"/>
      <c r="E25" s="20"/>
      <c r="F25" s="20"/>
      <c r="G25" s="20"/>
    </row>
    <row r="26" spans="1:7">
      <c r="A26" s="57" t="s">
        <v>89</v>
      </c>
      <c r="B26" s="57" t="s">
        <v>90</v>
      </c>
      <c r="C26" s="57" t="s">
        <v>91</v>
      </c>
      <c r="D26" s="57" t="s">
        <v>92</v>
      </c>
      <c r="E26" s="20"/>
      <c r="F26" s="20"/>
      <c r="G26" s="20"/>
    </row>
    <row r="27" spans="1:7">
      <c r="A27" s="59">
        <v>0</v>
      </c>
      <c r="B27" s="59"/>
      <c r="C27" s="60">
        <f>+'Análisis Financiero'!N38</f>
        <v>2034.5006302747274</v>
      </c>
      <c r="D27" s="60">
        <f>-B27-C27</f>
        <v>-2034.5006302747274</v>
      </c>
      <c r="E27" s="20"/>
      <c r="F27" s="20"/>
      <c r="G27" s="20"/>
    </row>
    <row r="28" spans="1:7">
      <c r="A28" s="59">
        <v>1</v>
      </c>
      <c r="B28" s="60">
        <f>+((('Análisis Financiero'!G$48)/'Análisis Financiero'!E$54)*1.2)*(16*355)</f>
        <v>7938.8299980000002</v>
      </c>
      <c r="C28" s="60">
        <f>+VPN!C23</f>
        <v>6701</v>
      </c>
      <c r="D28" s="60">
        <f>B28-C28</f>
        <v>1237.8299980000002</v>
      </c>
      <c r="E28" s="56"/>
      <c r="F28" s="65" t="s">
        <v>49</v>
      </c>
      <c r="G28" s="20"/>
    </row>
    <row r="29" spans="1:7">
      <c r="A29" s="59">
        <v>2</v>
      </c>
      <c r="B29" s="60">
        <f>+((('Análisis Financiero'!G$48)/'Análisis Financiero'!E$54)*1.2)*(16*355)</f>
        <v>7938.8299980000002</v>
      </c>
      <c r="C29" s="60">
        <f>+VPN!C23</f>
        <v>6701</v>
      </c>
      <c r="D29" s="60">
        <f t="shared" ref="D29:D37" si="1">B29-C29</f>
        <v>1237.8299980000002</v>
      </c>
      <c r="E29" s="56"/>
      <c r="F29" s="58">
        <f>+NPV(B5,D28:D37)+D27</f>
        <v>6969.0920849388785</v>
      </c>
      <c r="G29" s="20"/>
    </row>
    <row r="30" spans="1:7">
      <c r="A30" s="59">
        <v>3</v>
      </c>
      <c r="B30" s="60">
        <f>+((('Análisis Financiero'!G$48)/'Análisis Financiero'!E$54)*1.2)*(16*355)</f>
        <v>7938.8299980000002</v>
      </c>
      <c r="C30" s="60">
        <f>+VPN!C23</f>
        <v>6701</v>
      </c>
      <c r="D30" s="60">
        <f t="shared" si="1"/>
        <v>1237.8299980000002</v>
      </c>
      <c r="E30" s="20"/>
      <c r="F30" s="20"/>
      <c r="G30" s="20"/>
    </row>
    <row r="31" spans="1:7">
      <c r="A31" s="59">
        <v>4</v>
      </c>
      <c r="B31" s="60">
        <f>+((('Análisis Financiero'!G$48)/'Análisis Financiero'!E$54)*1.2)*(16*355)</f>
        <v>7938.8299980000002</v>
      </c>
      <c r="C31" s="60">
        <f>+VPN!C23</f>
        <v>6701</v>
      </c>
      <c r="D31" s="60">
        <f t="shared" si="1"/>
        <v>1237.8299980000002</v>
      </c>
      <c r="E31" s="20"/>
      <c r="F31" s="20"/>
      <c r="G31" s="20"/>
    </row>
    <row r="32" spans="1:7">
      <c r="A32" s="59">
        <v>5</v>
      </c>
      <c r="B32" s="60">
        <f>+((('Análisis Financiero'!G$48)/'Análisis Financiero'!E$54)*1.2)*(16*355)</f>
        <v>7938.8299980000002</v>
      </c>
      <c r="C32" s="60">
        <f>+VPN!C23</f>
        <v>6701</v>
      </c>
      <c r="D32" s="60">
        <f t="shared" si="1"/>
        <v>1237.8299980000002</v>
      </c>
      <c r="E32" s="20"/>
      <c r="F32" s="66"/>
      <c r="G32" s="20"/>
    </row>
    <row r="33" spans="1:14">
      <c r="A33" s="59">
        <v>6</v>
      </c>
      <c r="B33" s="60">
        <f>+((('Análisis Financiero'!G$48)/'Análisis Financiero'!E$54)*1.2)*(16*355)</f>
        <v>7938.8299980000002</v>
      </c>
      <c r="C33" s="60">
        <f>+VPN!C23</f>
        <v>6701</v>
      </c>
      <c r="D33" s="60">
        <f t="shared" si="1"/>
        <v>1237.8299980000002</v>
      </c>
      <c r="E33" s="20"/>
      <c r="F33" s="20"/>
      <c r="G33" s="20"/>
    </row>
    <row r="34" spans="1:14">
      <c r="A34" s="59">
        <v>7</v>
      </c>
      <c r="B34" s="60">
        <f>+((('Análisis Financiero'!G$48)/'Análisis Financiero'!E$54)*1.2)*(16*355)</f>
        <v>7938.8299980000002</v>
      </c>
      <c r="C34" s="60">
        <f>+VPN!C23</f>
        <v>6701</v>
      </c>
      <c r="D34" s="60">
        <f t="shared" si="1"/>
        <v>1237.8299980000002</v>
      </c>
      <c r="E34" s="20"/>
      <c r="F34" s="20"/>
      <c r="G34" s="20"/>
    </row>
    <row r="35" spans="1:14">
      <c r="A35" s="59">
        <v>8</v>
      </c>
      <c r="B35" s="60">
        <f>+((('Análisis Financiero'!G$48)/'Análisis Financiero'!E$54)*1.2)*(16*355)</f>
        <v>7938.8299980000002</v>
      </c>
      <c r="C35" s="60">
        <f>+VPN!C23</f>
        <v>6701</v>
      </c>
      <c r="D35" s="60">
        <f t="shared" si="1"/>
        <v>1237.8299980000002</v>
      </c>
      <c r="E35" s="20"/>
      <c r="F35" s="20"/>
      <c r="G35" s="20"/>
    </row>
    <row r="36" spans="1:14">
      <c r="A36" s="59">
        <v>9</v>
      </c>
      <c r="B36" s="60">
        <f>+((('Análisis Financiero'!G$48)/'Análisis Financiero'!E$54)*1.2)*(16*355)</f>
        <v>7938.8299980000002</v>
      </c>
      <c r="C36" s="60">
        <f>+VPN!C23</f>
        <v>6701</v>
      </c>
      <c r="D36" s="60">
        <f t="shared" si="1"/>
        <v>1237.8299980000002</v>
      </c>
      <c r="E36" s="20"/>
      <c r="F36" s="20"/>
      <c r="G36" s="20"/>
    </row>
    <row r="37" spans="1:14">
      <c r="A37" s="59">
        <v>10</v>
      </c>
      <c r="B37" s="60">
        <f>+((('Análisis Financiero'!G$48)/'Análisis Financiero'!E$54)*1.2)*(16*355)</f>
        <v>7938.8299980000002</v>
      </c>
      <c r="C37" s="60">
        <f>+VPN!C23</f>
        <v>6701</v>
      </c>
      <c r="D37" s="60">
        <f t="shared" si="1"/>
        <v>1237.8299980000002</v>
      </c>
      <c r="E37" s="20"/>
      <c r="F37" s="20"/>
      <c r="G37" s="20"/>
    </row>
    <row r="38" spans="1:14">
      <c r="A38" s="62"/>
      <c r="B38" s="63"/>
      <c r="C38" s="63"/>
      <c r="D38" s="60">
        <f>SUM(D27:D37)</f>
        <v>10343.799349725276</v>
      </c>
      <c r="E38" s="20"/>
      <c r="F38" s="20"/>
      <c r="G38" s="20"/>
    </row>
    <row r="39" spans="1:14">
      <c r="A39" s="20"/>
      <c r="B39" s="20"/>
      <c r="C39" s="20"/>
      <c r="D39" s="20"/>
      <c r="E39" s="20"/>
      <c r="F39" s="20"/>
      <c r="G39" s="20"/>
    </row>
    <row r="40" spans="1:14">
      <c r="A40" s="125" t="s">
        <v>84</v>
      </c>
      <c r="B40" s="125"/>
      <c r="C40" s="125"/>
      <c r="D40" s="125"/>
      <c r="E40" s="20"/>
      <c r="F40" s="20"/>
      <c r="G40" s="20"/>
    </row>
    <row r="41" spans="1:14">
      <c r="A41" s="125"/>
      <c r="B41" s="125"/>
      <c r="C41" s="125"/>
      <c r="D41" s="125"/>
      <c r="E41" s="20"/>
      <c r="F41" s="20"/>
      <c r="G41" s="20"/>
    </row>
    <row r="42" spans="1:14">
      <c r="A42" s="57" t="s">
        <v>89</v>
      </c>
      <c r="B42" s="57" t="s">
        <v>90</v>
      </c>
      <c r="C42" s="57" t="s">
        <v>91</v>
      </c>
      <c r="D42" s="57" t="s">
        <v>92</v>
      </c>
      <c r="E42" s="20"/>
      <c r="F42" s="20"/>
      <c r="G42" s="20"/>
    </row>
    <row r="43" spans="1:14">
      <c r="A43" s="59">
        <v>0</v>
      </c>
      <c r="B43" s="59"/>
      <c r="C43" s="60">
        <f>+'Análisis Financiero'!U38</f>
        <v>2765.3785267620387</v>
      </c>
      <c r="D43" s="60">
        <f>-B43-C43</f>
        <v>-2765.3785267620387</v>
      </c>
      <c r="E43" s="20"/>
      <c r="F43" s="20"/>
      <c r="G43" s="20"/>
    </row>
    <row r="44" spans="1:14">
      <c r="A44" s="59">
        <v>1</v>
      </c>
      <c r="B44" s="60">
        <f>+((('Análisis Financiero'!G$48)/'Análisis Financiero'!E$54)*1.2)*(16*355)</f>
        <v>7938.8299980000002</v>
      </c>
      <c r="C44" s="60">
        <f>+VPN!C24</f>
        <v>6615.8</v>
      </c>
      <c r="D44" s="60">
        <f>B44-C44</f>
        <v>1323.029998</v>
      </c>
      <c r="E44" s="20"/>
      <c r="F44" s="65" t="s">
        <v>49</v>
      </c>
      <c r="G44" s="20"/>
    </row>
    <row r="45" spans="1:14">
      <c r="A45" s="59">
        <v>2</v>
      </c>
      <c r="B45" s="60">
        <f>+((('Análisis Financiero'!G$48)/'Análisis Financiero'!E$54)*1.2)*(16*355)</f>
        <v>7938.8299980000002</v>
      </c>
      <c r="C45" s="60">
        <f>+VPN!C24</f>
        <v>6615.8</v>
      </c>
      <c r="D45" s="60">
        <f t="shared" ref="D45:D53" si="2">B45-C45</f>
        <v>1323.029998</v>
      </c>
      <c r="E45" s="20"/>
      <c r="F45" s="58">
        <f>+NPV(B5,D44:D53)+D43</f>
        <v>6857.9326478326093</v>
      </c>
      <c r="G45" s="20"/>
    </row>
    <row r="46" spans="1:14">
      <c r="A46" s="59">
        <v>3</v>
      </c>
      <c r="B46" s="60">
        <f>+((('Análisis Financiero'!G$48)/'Análisis Financiero'!E$54)*1.2)*(16*355)</f>
        <v>7938.8299980000002</v>
      </c>
      <c r="C46" s="60">
        <f>+VPN!C24</f>
        <v>6615.8</v>
      </c>
      <c r="D46" s="60">
        <f t="shared" si="2"/>
        <v>1323.029998</v>
      </c>
      <c r="E46" s="20"/>
      <c r="F46" s="20"/>
      <c r="G46" s="20"/>
    </row>
    <row r="47" spans="1:14">
      <c r="A47" s="59">
        <v>4</v>
      </c>
      <c r="B47" s="60">
        <f>+((('Análisis Financiero'!G$48)/'Análisis Financiero'!E$54)*1.2)*(16*355)</f>
        <v>7938.8299980000002</v>
      </c>
      <c r="C47" s="60">
        <f>+VPN!C24</f>
        <v>6615.8</v>
      </c>
      <c r="D47" s="60">
        <f t="shared" si="2"/>
        <v>1323.029998</v>
      </c>
      <c r="E47" s="20"/>
      <c r="F47" s="20"/>
      <c r="G47" s="20"/>
    </row>
    <row r="48" spans="1:14">
      <c r="A48" s="59">
        <v>5</v>
      </c>
      <c r="B48" s="60">
        <f>+((('Análisis Financiero'!G$48)/'Análisis Financiero'!E$54)*1.2)*(16*355)</f>
        <v>7938.8299980000002</v>
      </c>
      <c r="C48" s="60">
        <f>+VPN!C24</f>
        <v>6615.8</v>
      </c>
      <c r="D48" s="60">
        <f t="shared" si="2"/>
        <v>1323.029998</v>
      </c>
      <c r="E48" s="20"/>
      <c r="F48" s="20"/>
      <c r="G48" s="20"/>
      <c r="H48" s="4"/>
      <c r="I48" s="4"/>
      <c r="J48" s="4"/>
      <c r="K48" s="4"/>
      <c r="L48" s="4"/>
      <c r="M48" s="4"/>
      <c r="N48" s="4"/>
    </row>
    <row r="49" spans="1:7">
      <c r="A49" s="59">
        <v>6</v>
      </c>
      <c r="B49" s="60">
        <f>+((('Análisis Financiero'!G$48)/'Análisis Financiero'!E$54)*1.2)*(16*355)</f>
        <v>7938.8299980000002</v>
      </c>
      <c r="C49" s="60">
        <f>+VPN!C24</f>
        <v>6615.8</v>
      </c>
      <c r="D49" s="60">
        <f t="shared" si="2"/>
        <v>1323.029998</v>
      </c>
      <c r="E49" s="20"/>
      <c r="F49" s="20"/>
      <c r="G49" s="20"/>
    </row>
    <row r="50" spans="1:7">
      <c r="A50" s="59">
        <v>7</v>
      </c>
      <c r="B50" s="60">
        <f>+((('Análisis Financiero'!G$48)/'Análisis Financiero'!E$54)*1.2)*(16*355)</f>
        <v>7938.8299980000002</v>
      </c>
      <c r="C50" s="60">
        <f>+VPN!C24</f>
        <v>6615.8</v>
      </c>
      <c r="D50" s="60">
        <f t="shared" si="2"/>
        <v>1323.029998</v>
      </c>
      <c r="G50" s="20"/>
    </row>
    <row r="51" spans="1:7">
      <c r="A51" s="59">
        <v>8</v>
      </c>
      <c r="B51" s="60">
        <f>+((('Análisis Financiero'!G$48)/'Análisis Financiero'!E$54)*1.2)*(16*355)</f>
        <v>7938.8299980000002</v>
      </c>
      <c r="C51" s="60">
        <f>+VPN!C24</f>
        <v>6615.8</v>
      </c>
      <c r="D51" s="60">
        <f t="shared" si="2"/>
        <v>1323.029998</v>
      </c>
    </row>
    <row r="52" spans="1:7">
      <c r="A52" s="59">
        <v>9</v>
      </c>
      <c r="B52" s="60">
        <f>+((('Análisis Financiero'!G$48)/'Análisis Financiero'!E$54)*1.2)*(16*355)</f>
        <v>7938.8299980000002</v>
      </c>
      <c r="C52" s="60">
        <f>+VPN!C24</f>
        <v>6615.8</v>
      </c>
      <c r="D52" s="60">
        <f t="shared" si="2"/>
        <v>1323.029998</v>
      </c>
    </row>
    <row r="53" spans="1:7">
      <c r="A53" s="59">
        <v>10</v>
      </c>
      <c r="B53" s="60">
        <f>+((('Análisis Financiero'!G$48)/'Análisis Financiero'!E$54)*1.2)*(16*355)</f>
        <v>7938.8299980000002</v>
      </c>
      <c r="C53" s="60">
        <f>+VPN!C24</f>
        <v>6615.8</v>
      </c>
      <c r="D53" s="60">
        <f t="shared" si="2"/>
        <v>1323.029998</v>
      </c>
    </row>
    <row r="54" spans="1:7">
      <c r="D54" s="68">
        <f>SUM(D43:D53)</f>
        <v>10464.921453237961</v>
      </c>
    </row>
  </sheetData>
  <mergeCells count="3">
    <mergeCell ref="A40:D41"/>
    <mergeCell ref="A8:D9"/>
    <mergeCell ref="A24:D25"/>
  </mergeCells>
  <printOptions horizontalCentered="1"/>
  <pageMargins left="0.70866141732283472" right="0.70866141732283472" top="1.5748031496062993" bottom="0.74803149606299213" header="0.31496062992125984" footer="0.31496062992125984"/>
  <pageSetup paperSize="9" scale="81" orientation="portrait" r:id="rId1"/>
  <headerFooter>
    <oddHeader xml:space="preserve">&amp;L&amp;G&amp;C
Estudio técnico-económico para el desarrollo de un sistema de 
carga de vehículos eléctricos en conjuntos residenciales: 
estudio de caso conjunto residencial
 Sabana Grande Reservado 4&amp;R
</oddHeader>
  </headerFooter>
  <colBreaks count="2" manualBreakCount="2">
    <brk id="7" max="46" man="1"/>
    <brk id="14" max="46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79B37-2205-4D31-BDBD-FA05F0BEC241}">
  <dimension ref="A1:C5"/>
  <sheetViews>
    <sheetView workbookViewId="0"/>
  </sheetViews>
  <sheetFormatPr baseColWidth="10" defaultRowHeight="14.4"/>
  <cols>
    <col min="2" max="2" width="14.5546875" customWidth="1"/>
    <col min="3" max="3" width="16.88671875" customWidth="1"/>
  </cols>
  <sheetData>
    <row r="1" spans="1:3">
      <c r="B1" s="38" t="s">
        <v>49</v>
      </c>
      <c r="C1" s="38" t="s">
        <v>85</v>
      </c>
    </row>
    <row r="2" spans="1:3">
      <c r="B2" s="43">
        <f>VPN!E22</f>
        <v>50193.106949457819</v>
      </c>
      <c r="C2" s="39" t="s">
        <v>82</v>
      </c>
    </row>
    <row r="3" spans="1:3">
      <c r="B3" s="43">
        <f>VPN!E23</f>
        <v>50775.502934410499</v>
      </c>
      <c r="C3" s="39" t="s">
        <v>83</v>
      </c>
    </row>
    <row r="4" spans="1:3">
      <c r="B4" s="43">
        <f>VPN!E24</f>
        <v>50886.662371516773</v>
      </c>
      <c r="C4" s="39" t="s">
        <v>84</v>
      </c>
    </row>
    <row r="5" spans="1:3">
      <c r="A5" s="47" t="s">
        <v>86</v>
      </c>
      <c r="B5" s="43">
        <f>+MIN(B2:B4)</f>
        <v>50193.106949457819</v>
      </c>
      <c r="C5" s="39" t="str">
        <f>+VLOOKUP(B5,B2:C4,2,FALSE)</f>
        <v>PROPUESTA 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Análisis Financiero</vt:lpstr>
      <vt:lpstr>VPN</vt:lpstr>
      <vt:lpstr>Tasa Inflación</vt:lpstr>
      <vt:lpstr>Flujos</vt:lpstr>
      <vt:lpstr>Selección Oferente</vt:lpstr>
      <vt:lpstr>'Análisis Financiero'!Área_de_impresión</vt:lpstr>
      <vt:lpstr>Flujos!Área_de_impresión</vt:lpstr>
      <vt:lpstr>VPN!Área_de_impresión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Sanchez, Juliette</dc:creator>
  <cp:lastModifiedBy>Sanchez, Juliette</cp:lastModifiedBy>
  <cp:lastPrinted>2023-02-08T22:56:33Z</cp:lastPrinted>
  <dcterms:created xsi:type="dcterms:W3CDTF">2022-10-27T15:19:02Z</dcterms:created>
  <dcterms:modified xsi:type="dcterms:W3CDTF">2023-02-08T23:25:43Z</dcterms:modified>
</cp:coreProperties>
</file>