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1385" windowHeight="7935"/>
  </bookViews>
  <sheets>
    <sheet name="SectorAgrícola" sheetId="1" r:id="rId1"/>
    <sheet name="Sector Pecuario" sheetId="2" r:id="rId2"/>
    <sheet name="Sector Industrial" sheetId="3" r:id="rId3"/>
    <sheet name="Sector Domestico" sheetId="4" r:id="rId4"/>
    <sheet name="Referencias" sheetId="5" r:id="rId5"/>
  </sheets>
  <calcPr calcId="162913"/>
</workbook>
</file>

<file path=xl/calcChain.xml><?xml version="1.0" encoding="utf-8"?>
<calcChain xmlns="http://schemas.openxmlformats.org/spreadsheetml/2006/main">
  <c r="H15" i="4" l="1"/>
  <c r="D15" i="2"/>
  <c r="D14" i="2"/>
  <c r="D12" i="4"/>
  <c r="H11" i="4"/>
  <c r="H7" i="4"/>
  <c r="F8" i="3"/>
  <c r="F11" i="3" s="1"/>
  <c r="O14" i="1" s="1"/>
  <c r="O6" i="3"/>
  <c r="F14" i="3" s="1"/>
  <c r="F17" i="3" s="1"/>
  <c r="C20" i="2"/>
  <c r="C19" i="2"/>
  <c r="C18" i="2"/>
  <c r="L11" i="2"/>
  <c r="L10" i="2"/>
  <c r="L9" i="2"/>
  <c r="D11" i="2" s="1"/>
  <c r="O12" i="1" s="1"/>
  <c r="D8" i="2"/>
  <c r="D7" i="2"/>
  <c r="K31" i="1"/>
  <c r="C31" i="1"/>
  <c r="C29" i="1"/>
  <c r="D25" i="1"/>
  <c r="G25" i="1" s="1"/>
  <c r="I22" i="1"/>
  <c r="C37" i="1" s="1"/>
  <c r="G22" i="1"/>
  <c r="D22" i="1"/>
  <c r="G18" i="1"/>
  <c r="D18" i="1"/>
  <c r="O15" i="1"/>
  <c r="I15" i="1"/>
  <c r="G15" i="1"/>
  <c r="D15" i="1"/>
  <c r="O13" i="1"/>
  <c r="D12" i="1"/>
  <c r="C30" i="1" s="1"/>
  <c r="I9" i="1"/>
  <c r="G9" i="1"/>
  <c r="D9" i="1"/>
  <c r="C35" i="1" s="1"/>
  <c r="C32" i="1" l="1"/>
  <c r="C36" i="1"/>
  <c r="C38" i="1" s="1"/>
  <c r="G12" i="1"/>
  <c r="K13" i="1"/>
  <c r="K14" i="1" s="1"/>
</calcChain>
</file>

<file path=xl/sharedStrings.xml><?xml version="1.0" encoding="utf-8"?>
<sst xmlns="http://schemas.openxmlformats.org/spreadsheetml/2006/main" count="249" uniqueCount="197">
  <si>
    <t>SECTOR AGRÍCOLA</t>
  </si>
  <si>
    <t>SECTOR INDUSTRIAL</t>
  </si>
  <si>
    <t>SECTOR PECUARIO</t>
  </si>
  <si>
    <t>Alimento</t>
  </si>
  <si>
    <t>Precipitación efectiva</t>
  </si>
  <si>
    <t>Producto</t>
  </si>
  <si>
    <t>Hectareas</t>
  </si>
  <si>
    <t>Rendimiento</t>
  </si>
  <si>
    <t>Concentración Natural de Nitratos en la fuente receptora (mg/L)</t>
  </si>
  <si>
    <t>Concentración de Nitratos de referencia (mg/L)</t>
  </si>
  <si>
    <t>Pasto</t>
  </si>
  <si>
    <t>Agua vertida (m3)</t>
  </si>
  <si>
    <t>Agua extraida (m3)</t>
  </si>
  <si>
    <t>Producción Carne y subproductos  (Kg)</t>
  </si>
  <si>
    <t>Empresas (y)</t>
  </si>
  <si>
    <t>Caudal Vertido (m3/año)</t>
  </si>
  <si>
    <t>Concentración del contaminante Fosfatos (mg/L)</t>
  </si>
  <si>
    <t>Concentración del contaminante Nitrato amoniacal (mg/L)</t>
  </si>
  <si>
    <t>Caudal de entrada (m3/año)</t>
  </si>
  <si>
    <t>Concentración de entrada Fosfatos  (mg/L)</t>
  </si>
  <si>
    <t>Concentración de entrada Ntrato amoniacal (mg/L)</t>
  </si>
  <si>
    <t>Concentración Natural de la fuente receptora Fosfatos (mg/L)</t>
  </si>
  <si>
    <t>Concentración Natural de la fuente receptora Nitratos (mg/L)</t>
  </si>
  <si>
    <t>Concentración de referencia Fosfatos (mg/L)</t>
  </si>
  <si>
    <t>Concentración de referencia Nitratos (mg/L)</t>
  </si>
  <si>
    <t>Vaca/Toro</t>
  </si>
  <si>
    <t>HH Verde=</t>
  </si>
  <si>
    <t>Precipitación Efectiva (m3/ha)</t>
  </si>
  <si>
    <t>Requerimiento de Riego (m3/ha)</t>
  </si>
  <si>
    <t>Rendimiento (t/ha)</t>
  </si>
  <si>
    <t>Hectáreas cultivadas</t>
  </si>
  <si>
    <t>Cantidad de fertilizante (kg/ha)</t>
  </si>
  <si>
    <t>Concentración máxima permisible del N  en el agua (Kg/m3)</t>
  </si>
  <si>
    <t>m3/ha</t>
  </si>
  <si>
    <t>Por hectáreas</t>
  </si>
  <si>
    <t>IND HH Azul (m3/Und PXN) =</t>
  </si>
  <si>
    <t>Concentración natural del N en el agua (kg/m3)</t>
  </si>
  <si>
    <t>Producción Anual (t)</t>
  </si>
  <si>
    <t>Animal</t>
  </si>
  <si>
    <t>Numero de ejemplares</t>
  </si>
  <si>
    <t>Agua Diaria m3/día</t>
  </si>
  <si>
    <t>Total Agua consumida (m3/día)</t>
  </si>
  <si>
    <t>Concentración de materia fecal de N (gr/dia)</t>
  </si>
  <si>
    <t xml:space="preserve">Papa </t>
  </si>
  <si>
    <t>Frijol</t>
  </si>
  <si>
    <t>Maíz</t>
  </si>
  <si>
    <t>Concentración de Orina de N (gr/dia)</t>
  </si>
  <si>
    <t>Bobinos</t>
  </si>
  <si>
    <t>HH Azul (m3/periodo)=</t>
  </si>
  <si>
    <t>Porcinos</t>
  </si>
  <si>
    <t>HH Azul=(Consumo y servidumbre)</t>
  </si>
  <si>
    <t>m3</t>
  </si>
  <si>
    <t>Equinos</t>
  </si>
  <si>
    <t>m3/año</t>
  </si>
  <si>
    <t>HH Pecuaria=</t>
  </si>
  <si>
    <t>Papa (Por porducto) HH verde=</t>
  </si>
  <si>
    <t>CWU verde/Y</t>
  </si>
  <si>
    <t xml:space="preserve">IND HH Gris.= </t>
  </si>
  <si>
    <t>HH Gris (m3) =</t>
  </si>
  <si>
    <t>servidumbre</t>
  </si>
  <si>
    <t>m3/día</t>
  </si>
  <si>
    <t>HH Gris Bobinos=</t>
  </si>
  <si>
    <t>m3/t</t>
  </si>
  <si>
    <t>Papa (por hectárea) HH verde=</t>
  </si>
  <si>
    <t>HH Gris Porcinos=</t>
  </si>
  <si>
    <t>HH Gris Equinos=</t>
  </si>
  <si>
    <t>HH Gris papa=</t>
  </si>
  <si>
    <t xml:space="preserve">Sector </t>
  </si>
  <si>
    <t>Colombia Millones de (m3)</t>
  </si>
  <si>
    <t>Subcuenca alta del rio Bogotá</t>
  </si>
  <si>
    <t>Huella hídrica Azul Agricola</t>
  </si>
  <si>
    <t>6.942,5</t>
  </si>
  <si>
    <t>Huella hídrica Verde Agricola</t>
  </si>
  <si>
    <t>HH azul=</t>
  </si>
  <si>
    <t>CWU azúl/Y</t>
  </si>
  <si>
    <t>Huella hídrica Azul Pecuario</t>
  </si>
  <si>
    <t>13,8</t>
  </si>
  <si>
    <t>Total verde agricola=</t>
  </si>
  <si>
    <t xml:space="preserve">Huella hídrica Verde Pecuario </t>
  </si>
  <si>
    <t>SECTOR DOMESTICO</t>
  </si>
  <si>
    <t>HHVSectoria=</t>
  </si>
  <si>
    <t>Huella hídrica Azul Industrial</t>
  </si>
  <si>
    <t>99,7</t>
  </si>
  <si>
    <t>Parámetro</t>
  </si>
  <si>
    <t>Consideraciones</t>
  </si>
  <si>
    <t>Valor</t>
  </si>
  <si>
    <t>Medida</t>
  </si>
  <si>
    <t>QCAP IMP [L/s]</t>
  </si>
  <si>
    <t>Caudal importado a la cuenca</t>
  </si>
  <si>
    <t>Frijol (Por porducto) HH Verde=</t>
  </si>
  <si>
    <t>QCAP CUE [L/s]</t>
  </si>
  <si>
    <t>Caudal captado de la cuenca</t>
  </si>
  <si>
    <t>Frijol (Por hectárea) HH Verde =</t>
  </si>
  <si>
    <t>Referencia</t>
  </si>
  <si>
    <t>HH gris frijol=</t>
  </si>
  <si>
    <t>L/s</t>
  </si>
  <si>
    <t>l/s</t>
  </si>
  <si>
    <t>QEPTAP [L/s]</t>
  </si>
  <si>
    <t>Caudal de entrada a la PTAP</t>
  </si>
  <si>
    <t>30,03</t>
  </si>
  <si>
    <t>HH Azul</t>
  </si>
  <si>
    <t>Agricola</t>
  </si>
  <si>
    <t>Huella hídrica Azul Domestico</t>
  </si>
  <si>
    <t xml:space="preserve">CTA (2013) Estimación de la Huella hídrica en una Cuenca Hidrográfica, Guia metodológica y caso de estudio. Lugar: Medellín, Colombia. Sello Editorial. </t>
  </si>
  <si>
    <t>385,8</t>
  </si>
  <si>
    <t>m3/s</t>
  </si>
  <si>
    <t>Qempacado PTAP [L/s]</t>
  </si>
  <si>
    <t>Caudal empacado en la PTAP</t>
  </si>
  <si>
    <t>QVPTAP [L/s]</t>
  </si>
  <si>
    <t>Caudal vertido por la PTAP</t>
  </si>
  <si>
    <t>QDPTAP [L/s]</t>
  </si>
  <si>
    <t>Caudal de salida para la distribución de la PTAP</t>
  </si>
  <si>
    <t>QCF [L/s]</t>
  </si>
  <si>
    <t>Caudal de consumo facturado</t>
  </si>
  <si>
    <t>HH gris</t>
  </si>
  <si>
    <t>CTA (2013) Guia metológica de aplicación de la  Huella hídrica en Cuenca, Huella hídrica Cuenca Porce. https://www.shareweb.ch/site/Suiz-Agua-Colombia/Documents/Guia_Metodologica_HH_Cuenca.pdf</t>
  </si>
  <si>
    <t>%P</t>
  </si>
  <si>
    <t>FAO (2015) Software Cropwat. http://www.fao.org/land-water/databases-and-software/cropwat/es/</t>
  </si>
  <si>
    <t>Porcentaje de pérdidas</t>
  </si>
  <si>
    <t>26,12</t>
  </si>
  <si>
    <t>%</t>
  </si>
  <si>
    <t>%FT</t>
  </si>
  <si>
    <t>Porcentaje de fugas técnicas</t>
  </si>
  <si>
    <t>6,18</t>
  </si>
  <si>
    <t>%AI</t>
  </si>
  <si>
    <t>Porcentaje de acometidas ilegales</t>
  </si>
  <si>
    <t>QEAI[L/s]</t>
  </si>
  <si>
    <t>Caudal de entrada de acometidas ilegales</t>
  </si>
  <si>
    <t>QVAI [L/s]</t>
  </si>
  <si>
    <t>Caudal vertido por las acometidas ilegales</t>
  </si>
  <si>
    <t>C [mg/L]</t>
  </si>
  <si>
    <t>Concentración de DBO5, SST y NTK en cada una de las etapas</t>
  </si>
  <si>
    <t>mg/L</t>
  </si>
  <si>
    <t>QVUSU [L/s]</t>
  </si>
  <si>
    <t>Caudal vertido por los usuarios</t>
  </si>
  <si>
    <t>Q Tra PTAR</t>
  </si>
  <si>
    <t>Porcentaje del caudal que es llevado a una PTAR</t>
  </si>
  <si>
    <t>QVPTAR [L/s]</t>
  </si>
  <si>
    <t>FAO (2015) Evapotranspiración del cultivo. Guías para la determinación de los requerimientos de agua de los cultivos. http://www.fao.org/3/a-x0490s.pdf</t>
  </si>
  <si>
    <t>Caudal vertido por los usuarios tratado por una PTAR</t>
  </si>
  <si>
    <t>FAO (2015) Base de datos Climwat. http://www.fao.org/land-water/databases-and-software/climwat-for-cropwat/es/</t>
  </si>
  <si>
    <t>QVST [L/s]</t>
  </si>
  <si>
    <t>Caudal vertido por los usuarios sin tratar</t>
  </si>
  <si>
    <t>% R</t>
  </si>
  <si>
    <t>Porcentaje de remoción de DBO5, SST y NTK de la PTAR</t>
  </si>
  <si>
    <t>C EPTAP DBO5 (mg/L)</t>
  </si>
  <si>
    <t>Concentración de DBO5 a la entrada de la PTAP</t>
  </si>
  <si>
    <t>C VPTAP DBO5 (mg/L)</t>
  </si>
  <si>
    <t>Concentración de DBO5 en el vertimiento de la PTAP</t>
  </si>
  <si>
    <t>C VAI DBO5 (mg/L)</t>
  </si>
  <si>
    <t>Concentración de DBO5en el vertimiento de las acometidas ilegales</t>
  </si>
  <si>
    <t>C VPTAR DBO5 (mg/L)</t>
  </si>
  <si>
    <t>Concentración de DBO5 en el vertimiento de la PTAR</t>
  </si>
  <si>
    <t>C VST DBO5 (mg/L)</t>
  </si>
  <si>
    <t>Concentración de DBO5 en el vertimiento por los usuarios sin tratar</t>
  </si>
  <si>
    <t>DANE (2017) El cultivo de la papa (Solanum tuberosum L.) y un estudio de caso de los costos de producción de papa Pastusa Suprema.  https://www.dane.gov.co/files/investigaciones/agropecuario/sipsa/Bol_Insumos_ene_2017.pdf</t>
  </si>
  <si>
    <t>C CAP CUE (mg/L)</t>
  </si>
  <si>
    <t>Concentración de DBO5 rn el caudal captado de la cuenca</t>
  </si>
  <si>
    <t>C max (mg/L)</t>
  </si>
  <si>
    <t>Concentración máxima de DBO5 en el agua</t>
  </si>
  <si>
    <t>C nat (mg/L(</t>
  </si>
  <si>
    <t>Concentración natural de DBO5 en el agua</t>
  </si>
  <si>
    <t>Maíz (Por porducto) HH verde=</t>
  </si>
  <si>
    <t>Alcaldía de Cundinamarca (2013) Estadísticas de Cundinamarca: Agropecuario. http://www.cundinamarca.gov.co/wcm/connect/b7ea1496-2fb2-403c-87ec-e4a01656ea33/Cap_11.pdf?MOD=AJPERES&amp;CVID=kNRoLiL</t>
  </si>
  <si>
    <t>Maíz (Por hectárea) HH verde=</t>
  </si>
  <si>
    <t>HH gris maiz=</t>
  </si>
  <si>
    <t>Agroica (2016) Costos de producción por Hectarea de Cebada de Grano. http://www.agroica.gob.pe/sites/default/files/FORRAJES%20CP%20HECTAREA.pdf</t>
  </si>
  <si>
    <t>Pecuaria</t>
  </si>
  <si>
    <t>Oviaragón (2011) Ray Grass, una buena alternativa forrajera en regadío. https://oviaragonblog.com/2011/09/12/ray-grass-una-buena-alternativa-forrajera-en-regadio/</t>
  </si>
  <si>
    <t>Engormix (2016) El uso adecuado del agua em explotaciones de ganado bovino. https://www.engormix.com/ganaderia-leche/articulos/uso-adecuado-agua-explotaciones-t39737.htm</t>
  </si>
  <si>
    <t>Universidad Francisco Jose de Caldas (2016) Plan de gestión,Manejo, tratamiento de vertimientos líquidos y subproductos de la planta de beneficio de ganado , Municipio de San francisco, Meta, Cundinamarca. http://repository.udistrital.edu.co/bitstream/11349/3496/1/Bola%C3%B1osG%C3%B3mezTaniaMilena2016.pdf</t>
  </si>
  <si>
    <t>Huella Hídrica</t>
  </si>
  <si>
    <t>Duarte (2015) Uso del Agua en establecimientos agropecuarios. Sistema de abrevadero https://www.planagropecuario.org.uy/publicaciones/revista/R139/R_139_52.pdf</t>
  </si>
  <si>
    <t xml:space="preserve">Industrial </t>
  </si>
  <si>
    <t>Universidad Nacional Abierta y a Distancia (2016) Programa de gestión integral de vertimientos generados en la granja el encanto en la La Mesa, vereda Zapata- Cundinamarca. https://stadium.unad.edu.co/preview/UNAD.php?url=%2Fbitstream%2F10596%2F6483%2F5%2F52458082.pdf</t>
  </si>
  <si>
    <t>HH verde</t>
  </si>
  <si>
    <t>Resolución 2115 (2007) Ministerio de la protección social y Ministerio de ambiente, vivienda y desarrollo territorial. 
Características, instrumentos básicos y frecuencias del sistema de control y vigilancia para la calidad del agua para consumo humano. http://www.minambiente.gov.co/images/GestionIntegraldelRecursoHidrico/pdf/Legislaci%C3%B3n_del_agua/Resoluci%C3%B3n_2115.pdf</t>
  </si>
  <si>
    <t>Decreto 1575 (2007) Sistema para la Protección y Control de la Calidad del Agua
 para Consumo Humano http://www.minambiente.gov.co/images/GestionIntegraldelRecursoHidrico/pdf/Disponibilidad-del-recurso-hidrico/Decreto-1575-de-2007.pdf</t>
  </si>
  <si>
    <t>Universidad Distrital Francisco Jose de Caldas (2016) Plan de gestión, manejo, tratamiento de vertimientos líquidos y subproductos de la planta de beneficio de ganado municipio de San Francisco, Cundinamarca, http://repository.udistrital.edu.co/bitstream/11349/3496/1/Bola%C3%B1osG%C3%B3mezTaniaMilena2016.pdf</t>
  </si>
  <si>
    <t>HH azul</t>
  </si>
  <si>
    <t>Doméstico</t>
  </si>
  <si>
    <t>BAS (2000) Planta de tratamiento El salitro Fase I, Congreso nacional Acodal http://www.bvsde.paho.org/bvsacd/acodal43/salitre.pdf</t>
  </si>
  <si>
    <t>Universidad Católica de Colombia (2016) Evaluación tecnica y uso sotenible de las PTAP`S, Para el municipio de la Calera https://repository.ucatolica.edu.co/bitstream/10983/13911/4/EVALUACION%20TECNICA%20Y%20USO%20SOSTENIBLE%20DE%20LAS%20PTAP%60S%20PARA%20EL%20MUNICIPIO%20DE%20LA%20CALERA.pdf</t>
  </si>
  <si>
    <t>Universidad Católica de Colombia (2016) Propuesta de mejoramiento de las operaciones en la planta de tratamiento de agua residual en el municipio de LA Calera.  https://repository.ucatolica.edu.co/bitstream/10983/13947/4/PROPUESTA%20DE%20MEJORAMIENTO%20DE%20LAS%20OPERACIONES%20EN%20LA%20PLANTA%20DE%20TRATAMIENTO%20DE%20AGUA%20RESIDUAL%20EN%20EL%20MUNICIPIO%20DE%20LA%20CALERA%20(CUNDINAMARCA).pdf</t>
  </si>
  <si>
    <t>Universidad Pontificia Bolivariana (2013) Determinación de la Huella Hídrica del sector doméstico en la Cuenca del Río Porce. https://repository.upb.edu.co/bitstream/handle/20.500.11912/1396/1.%20TRABAJO%20DE%20GRADO%20-%20Determinaci%C3%B3n%20de%20la%20huella%20h%C3%ADdrica%20del%20sector%20dom%C3%A9stico%20en%20la%20cuenca%20del%20r%C3%AD.pdf?sequence=1</t>
  </si>
  <si>
    <t>Universidad Autónoma de Occidente (2015) Aproximación a la huella hídrica en la Universidad Autónoma de Occidente. https://campussostenible.org/wp-content/uploads/2017/04/anexo-12-huella-hidrica-2015.pdf</t>
  </si>
  <si>
    <t>Total</t>
  </si>
  <si>
    <t>Universidad Católica de Manizales (2017) Las conexiones ilegales del sistema de acueducto y sus efectos sobre las laderas de los sectores del Aguacate y barrio Andes de la Ciudad de Manizales. http://repositorio.ucm.edu.co:8080/jspui/bitstream/handle/10839/1862/Dar%C3%ADo%20Alonso%20Mart%C3%ADnez%20Bland%C3%B3n.pdf?sequence=1&amp;isAllowed=y</t>
  </si>
  <si>
    <t>OSE (2012) Cálculos básicos para operación de la planta de tratamiento de aguas residuales (PTAR) Canelones www.ose.com.uy/descargas/reclutamiento/calculos_basicos.docx</t>
  </si>
  <si>
    <t>Universidad Nacional de Colombia (2016) Estudios y Diseños Planta de Potabilización de Agua Centro Agropecuario Marengo de la Universidad Nacional de Colombia http://www.bdigital.unal.edu.co/53349/1/sergiozearodriguez.2016.pdf</t>
  </si>
  <si>
    <t>Universidad Católica de Colombia. (2016) Evaluación técnica de la planta de tratamiento de agua residual (PTAR) de la inspección de pueblo nuevo del municipio de Nlo Cundinamarca. https://repository.ucatolica.edu.co/bitstream/10983/13901/4/EVALUACION%20TECNICA%20DE%20LA%20PLANTA%20DE%20TRATAMIENTO%20DE%20AGUA%20RESIDUAL.pdf</t>
  </si>
  <si>
    <t>Empresas Públicas de Neiva E.S.P. (2017) Manual de Operación de Planta Las Ceibas. http://www.lasceibas.gov.co/sites/default/files/documentacion/ac-mn-01_manual_de_operacion_de_planta_0.pdf</t>
  </si>
  <si>
    <t>Corporación Autónoma Regional de Cundinamarca (s.f.) Diagnóstico, prospectiva y formulación de la cuenca hidrográfica de los ríos Ubaté y Suárez. https://www.car.gov.co/uploads/files/5ac692fb56934.pdf</t>
  </si>
  <si>
    <t>Superintendencia de Salud (2015) Resolución 631 de 2015. https://docs.supersalud.gov.co/PortalWeb/Juridica/OtraNormativa/R_MADS_0631_2015.pdf</t>
  </si>
  <si>
    <t>Chavimochis (s.f.) Descripción de la obra. http://www.chavimochic.gob.pe/images/boletines/ptap.pdf</t>
  </si>
  <si>
    <t xml:space="preserve">Universidad Católica de Colombia (2016) Propuesta de mejoramiento de las operaciones en la planta de tratamientode agua residual en el municipio de la Calera Cundinamarca. https://repository.ucatolica.edu.co/bitstream/10983/13947/4/PROPUESTA%20DE%20MEJORAMIENTO%20DE%20LAS%20OPERACIONES%20EN%20LA%20PLANTA%20DE%20TRATAMIENTO%20DE%20AGUA%20RESIDUAL%20EN%20EL%20MUNICIPIO%20DE%20LA%20CALERA%20(CUNDINAMARCA).pdf </t>
  </si>
  <si>
    <t>HH industrial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</si>
</sst>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9">
    <font>
      <sz val="10"/>
      <color rgb="FF000000"/>
      <name val="Arial"/>
    </font>
    <font>
      <b/>
      <sz val="10"/>
      <name val="Arial"/>
    </font>
    <font>
      <sz val="10"/>
      <name val="Arial"/>
    </font>
    <font>
      <sz val="10"/>
      <name val="Arial"/>
    </font>
    <font>
      <sz val="11"/>
      <name val="Calibri"/>
    </font>
    <font>
      <b/>
      <sz val="11"/>
      <color rgb="FF000000"/>
      <name val="Arial"/>
    </font>
    <font>
      <sz val="11"/>
      <color rgb="FF000000"/>
      <name val="Arial"/>
    </font>
    <font>
      <sz val="11"/>
      <color rgb="FF000000"/>
      <name val="Calibri"/>
    </font>
    <font>
      <sz val="12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 applyFont="1" applyAlignment="1"/>
    <xf numFmtId="0" fontId="3" fillId="0" borderId="0" xfId="0" applyFont="1" applyAlignment="1">
      <alignment wrapText="1"/>
    </xf>
    <xf numFmtId="0" fontId="3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0" fillId="0" borderId="4" xfId="0" applyFont="1" applyBorder="1"/>
    <xf numFmtId="0" fontId="3" fillId="0" borderId="4" xfId="0" applyFont="1" applyBorder="1"/>
    <xf numFmtId="0" fontId="0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6" xfId="0" applyFont="1" applyBorder="1"/>
    <xf numFmtId="0" fontId="0" fillId="0" borderId="0" xfId="0" applyFont="1"/>
    <xf numFmtId="0" fontId="0" fillId="2" borderId="4" xfId="0" applyFont="1" applyFill="1" applyBorder="1" applyAlignment="1">
      <alignment horizontal="center"/>
    </xf>
    <xf numFmtId="2" fontId="0" fillId="0" borderId="4" xfId="0" applyNumberFormat="1" applyFont="1" applyBorder="1"/>
    <xf numFmtId="0" fontId="0" fillId="0" borderId="7" xfId="0" applyFont="1" applyBorder="1"/>
    <xf numFmtId="0" fontId="3" fillId="0" borderId="7" xfId="0" applyFont="1" applyBorder="1"/>
    <xf numFmtId="0" fontId="3" fillId="0" borderId="0" xfId="0" applyFont="1" applyAlignment="1">
      <alignment vertical="center"/>
    </xf>
    <xf numFmtId="0" fontId="3" fillId="0" borderId="8" xfId="0" applyFont="1" applyBorder="1" applyAlignment="1">
      <alignment wrapText="1"/>
    </xf>
    <xf numFmtId="0" fontId="0" fillId="2" borderId="9" xfId="0" applyFont="1" applyFill="1" applyBorder="1" applyAlignment="1">
      <alignment horizontal="center"/>
    </xf>
    <xf numFmtId="2" fontId="2" fillId="0" borderId="0" xfId="0" applyNumberFormat="1" applyFont="1"/>
    <xf numFmtId="0" fontId="3" fillId="0" borderId="5" xfId="0" applyFont="1" applyBorder="1"/>
    <xf numFmtId="0" fontId="0" fillId="0" borderId="5" xfId="0" applyFont="1" applyBorder="1"/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0" fillId="0" borderId="10" xfId="0" applyFont="1" applyBorder="1" applyAlignment="1">
      <alignment horizontal="center"/>
    </xf>
    <xf numFmtId="0" fontId="2" fillId="0" borderId="4" xfId="0" applyFont="1" applyBorder="1" applyAlignment="1"/>
    <xf numFmtId="0" fontId="2" fillId="0" borderId="4" xfId="0" applyFont="1" applyBorder="1" applyAlignment="1">
      <alignment horizontal="right"/>
    </xf>
    <xf numFmtId="0" fontId="2" fillId="0" borderId="4" xfId="0" applyFont="1" applyBorder="1"/>
    <xf numFmtId="2" fontId="2" fillId="0" borderId="4" xfId="0" applyNumberFormat="1" applyFont="1" applyBorder="1"/>
    <xf numFmtId="0" fontId="1" fillId="0" borderId="11" xfId="0" applyFont="1" applyBorder="1" applyAlignment="1">
      <alignment vertical="center"/>
    </xf>
    <xf numFmtId="0" fontId="3" fillId="0" borderId="4" xfId="0" applyFont="1" applyBorder="1" applyAlignment="1">
      <alignment horizontal="right"/>
    </xf>
    <xf numFmtId="0" fontId="1" fillId="0" borderId="0" xfId="0" applyFont="1"/>
    <xf numFmtId="0" fontId="0" fillId="2" borderId="12" xfId="0" applyFont="1" applyFill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0" fillId="2" borderId="4" xfId="0" applyFont="1" applyFill="1" applyBorder="1" applyAlignment="1">
      <alignment horizontal="right"/>
    </xf>
    <xf numFmtId="0" fontId="0" fillId="2" borderId="4" xfId="0" applyFont="1" applyFill="1" applyBorder="1" applyAlignment="1">
      <alignment horizontal="left"/>
    </xf>
    <xf numFmtId="164" fontId="3" fillId="0" borderId="4" xfId="0" applyNumberFormat="1" applyFont="1" applyBorder="1"/>
    <xf numFmtId="164" fontId="2" fillId="0" borderId="4" xfId="0" applyNumberFormat="1" applyFont="1" applyBorder="1"/>
    <xf numFmtId="0" fontId="3" fillId="0" borderId="10" xfId="0" applyFont="1" applyBorder="1"/>
    <xf numFmtId="0" fontId="3" fillId="0" borderId="4" xfId="0" applyFont="1" applyBorder="1" applyAlignment="1"/>
    <xf numFmtId="0" fontId="3" fillId="0" borderId="10" xfId="0" applyFont="1" applyBorder="1" applyAlignment="1">
      <alignment horizontal="center"/>
    </xf>
    <xf numFmtId="3" fontId="3" fillId="0" borderId="4" xfId="0" applyNumberFormat="1" applyFont="1" applyBorder="1" applyAlignment="1">
      <alignment horizontal="right"/>
    </xf>
    <xf numFmtId="0" fontId="0" fillId="0" borderId="10" xfId="0" applyFont="1" applyBorder="1"/>
    <xf numFmtId="0" fontId="5" fillId="0" borderId="0" xfId="0" applyFont="1" applyAlignment="1"/>
    <xf numFmtId="3" fontId="2" fillId="0" borderId="0" xfId="0" applyNumberFormat="1" applyFont="1" applyAlignment="1"/>
    <xf numFmtId="0" fontId="0" fillId="2" borderId="4" xfId="0" applyFont="1" applyFill="1" applyBorder="1" applyAlignment="1">
      <alignment horizontal="right"/>
    </xf>
    <xf numFmtId="0" fontId="2" fillId="0" borderId="0" xfId="0" applyFont="1" applyAlignment="1">
      <alignment horizontal="right"/>
    </xf>
    <xf numFmtId="3" fontId="6" fillId="0" borderId="0" xfId="0" applyNumberFormat="1" applyFont="1" applyAlignment="1"/>
    <xf numFmtId="0" fontId="2" fillId="0" borderId="4" xfId="0" applyFont="1" applyBorder="1" applyAlignment="1">
      <alignment horizontal="center"/>
    </xf>
    <xf numFmtId="3" fontId="2" fillId="0" borderId="0" xfId="0" applyNumberFormat="1" applyFont="1"/>
    <xf numFmtId="2" fontId="2" fillId="0" borderId="4" xfId="0" applyNumberFormat="1" applyFont="1" applyBorder="1" applyAlignment="1"/>
    <xf numFmtId="0" fontId="2" fillId="0" borderId="0" xfId="0" applyFont="1" applyBorder="1" applyAlignment="1"/>
    <xf numFmtId="2" fontId="2" fillId="0" borderId="0" xfId="0" applyNumberFormat="1" applyFont="1" applyBorder="1"/>
    <xf numFmtId="3" fontId="7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Font="1" applyBorder="1" applyAlignment="1"/>
    <xf numFmtId="3" fontId="2" fillId="0" borderId="0" xfId="0" applyNumberFormat="1" applyFont="1" applyBorder="1" applyAlignment="1"/>
    <xf numFmtId="0" fontId="8" fillId="0" borderId="0" xfId="0" applyFont="1" applyBorder="1" applyAlignment="1"/>
    <xf numFmtId="2" fontId="0" fillId="0" borderId="13" xfId="0" applyNumberFormat="1" applyFont="1" applyBorder="1"/>
    <xf numFmtId="0" fontId="3" fillId="0" borderId="13" xfId="0" applyFont="1" applyBorder="1"/>
    <xf numFmtId="0" fontId="0" fillId="0" borderId="13" xfId="0" applyFont="1" applyBorder="1" applyAlignment="1"/>
    <xf numFmtId="0" fontId="2" fillId="0" borderId="13" xfId="0" applyFont="1" applyBorder="1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6" xfId="0" applyFont="1" applyBorder="1" applyAlignment="1">
      <alignment horizontal="center"/>
    </xf>
    <xf numFmtId="0" fontId="2" fillId="0" borderId="6" xfId="0" applyFont="1" applyBorder="1"/>
    <xf numFmtId="0" fontId="4" fillId="0" borderId="0" xfId="0" applyFont="1" applyAlignment="1">
      <alignment horizontal="center"/>
    </xf>
    <xf numFmtId="0" fontId="2" fillId="0" borderId="13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0" fillId="2" borderId="13" xfId="0" applyFont="1" applyFill="1" applyBorder="1" applyAlignment="1">
      <alignment horizontal="center"/>
    </xf>
    <xf numFmtId="0" fontId="2" fillId="0" borderId="13" xfId="0" applyFont="1" applyBorder="1"/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0" fontId="1" fillId="0" borderId="7" xfId="0" applyFont="1" applyBorder="1" applyAlignment="1">
      <alignment horizontal="center" vertical="center"/>
    </xf>
    <xf numFmtId="0" fontId="2" fillId="0" borderId="8" xfId="0" applyFont="1" applyBorder="1"/>
    <xf numFmtId="0" fontId="2" fillId="0" borderId="5" xfId="0" applyFont="1" applyBorder="1"/>
    <xf numFmtId="0" fontId="3" fillId="0" borderId="2" xfId="0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3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O1000"/>
  <sheetViews>
    <sheetView tabSelected="1" topLeftCell="A7" workbookViewId="0">
      <selection activeCell="B8" sqref="B8"/>
    </sheetView>
  </sheetViews>
  <sheetFormatPr baseColWidth="10" defaultColWidth="14.42578125" defaultRowHeight="15" customHeight="1"/>
  <cols>
    <col min="1" max="1" width="10.7109375" customWidth="1"/>
    <col min="2" max="2" width="32.28515625" customWidth="1"/>
    <col min="3" max="3" width="14.42578125" customWidth="1"/>
    <col min="4" max="4" width="15.85546875" customWidth="1"/>
    <col min="5" max="5" width="8.7109375" customWidth="1"/>
    <col min="6" max="6" width="28.85546875" customWidth="1"/>
    <col min="7" max="7" width="13" customWidth="1"/>
    <col min="8" max="8" width="16.140625" customWidth="1"/>
    <col min="9" max="10" width="15.42578125" customWidth="1"/>
    <col min="12" max="12" width="9.140625" customWidth="1"/>
    <col min="13" max="13" width="28" customWidth="1"/>
    <col min="14" max="14" width="11.7109375" customWidth="1"/>
    <col min="15" max="15" width="12.28515625" customWidth="1"/>
  </cols>
  <sheetData>
    <row r="1" spans="2:15" ht="15.75" customHeight="1"/>
    <row r="2" spans="2:15" ht="26.25" customHeight="1">
      <c r="B2" s="66" t="s">
        <v>0</v>
      </c>
      <c r="C2" s="67"/>
      <c r="D2" s="67"/>
      <c r="E2" s="67"/>
      <c r="F2" s="67"/>
      <c r="G2" s="67"/>
      <c r="H2" s="67"/>
      <c r="I2" s="68"/>
    </row>
    <row r="3" spans="2:15" ht="76.5">
      <c r="B3" s="73"/>
      <c r="C3" s="70"/>
      <c r="E3" s="6" t="s">
        <v>5</v>
      </c>
      <c r="F3" s="7" t="s">
        <v>27</v>
      </c>
      <c r="G3" s="7" t="s">
        <v>28</v>
      </c>
      <c r="H3" s="7" t="s">
        <v>29</v>
      </c>
      <c r="I3" s="7" t="s">
        <v>30</v>
      </c>
      <c r="J3" s="3" t="s">
        <v>31</v>
      </c>
      <c r="K3" s="8" t="s">
        <v>32</v>
      </c>
      <c r="L3" s="3" t="s">
        <v>36</v>
      </c>
      <c r="M3" s="9" t="s">
        <v>37</v>
      </c>
    </row>
    <row r="4" spans="2:15" ht="15.75" customHeight="1">
      <c r="E4" s="5" t="s">
        <v>43</v>
      </c>
      <c r="F4" s="5">
        <v>2972</v>
      </c>
      <c r="G4" s="5">
        <v>437</v>
      </c>
      <c r="H4" s="5">
        <v>25</v>
      </c>
      <c r="I4" s="5">
        <v>550</v>
      </c>
      <c r="J4" s="5">
        <v>1511</v>
      </c>
      <c r="K4" s="5">
        <v>30</v>
      </c>
      <c r="L4" s="5">
        <v>0.01</v>
      </c>
      <c r="M4" s="9">
        <v>13500</v>
      </c>
    </row>
    <row r="5" spans="2:15" ht="15.75" customHeight="1">
      <c r="E5" s="5" t="s">
        <v>44</v>
      </c>
      <c r="F5" s="5">
        <v>1884</v>
      </c>
      <c r="G5" s="5">
        <v>424</v>
      </c>
      <c r="H5" s="5">
        <v>1.6</v>
      </c>
      <c r="I5" s="5">
        <v>2</v>
      </c>
      <c r="J5" s="5">
        <v>97</v>
      </c>
      <c r="K5" s="5">
        <v>30</v>
      </c>
      <c r="L5" s="5">
        <v>0.01</v>
      </c>
      <c r="M5" s="9">
        <v>2.56</v>
      </c>
    </row>
    <row r="6" spans="2:15" ht="15.75" customHeight="1">
      <c r="E6" s="5" t="s">
        <v>45</v>
      </c>
      <c r="F6" s="5">
        <v>2875</v>
      </c>
      <c r="G6" s="5">
        <v>406</v>
      </c>
      <c r="H6" s="5">
        <v>6</v>
      </c>
      <c r="I6" s="5">
        <v>45</v>
      </c>
      <c r="J6" s="5">
        <v>25</v>
      </c>
      <c r="K6" s="5">
        <v>30</v>
      </c>
      <c r="L6" s="5">
        <v>0.01</v>
      </c>
      <c r="M6" s="9">
        <v>270</v>
      </c>
    </row>
    <row r="7" spans="2:15" ht="15.75" customHeight="1"/>
    <row r="8" spans="2:15" ht="15.75" customHeight="1">
      <c r="B8" s="11"/>
      <c r="C8" s="69"/>
      <c r="D8" s="70"/>
      <c r="E8" s="70"/>
      <c r="F8" s="13"/>
      <c r="G8" s="71"/>
      <c r="H8" s="72"/>
      <c r="I8" s="72"/>
    </row>
    <row r="9" spans="2:15" ht="22.5" customHeight="1">
      <c r="B9" s="5" t="s">
        <v>55</v>
      </c>
      <c r="C9" s="15" t="s">
        <v>56</v>
      </c>
      <c r="D9" s="17">
        <f>F4/H4</f>
        <v>118.88</v>
      </c>
      <c r="E9" s="18" t="s">
        <v>62</v>
      </c>
      <c r="F9" s="20" t="s">
        <v>63</v>
      </c>
      <c r="G9" s="21">
        <f>D9*I4</f>
        <v>65384</v>
      </c>
      <c r="H9" s="23" t="s">
        <v>66</v>
      </c>
      <c r="I9" s="24">
        <f>(J4/K4-L4)/H4</f>
        <v>2.0142666666666669</v>
      </c>
      <c r="M9" s="25" t="s">
        <v>67</v>
      </c>
      <c r="N9" s="26" t="s">
        <v>68</v>
      </c>
      <c r="O9" s="26" t="s">
        <v>69</v>
      </c>
    </row>
    <row r="10" spans="2:15" ht="15.75" customHeight="1">
      <c r="B10" s="14"/>
      <c r="C10" s="27"/>
      <c r="D10" s="28"/>
      <c r="E10" s="28"/>
      <c r="F10" s="28"/>
      <c r="G10" s="28"/>
      <c r="M10" s="29" t="s">
        <v>70</v>
      </c>
      <c r="N10" s="30" t="s">
        <v>71</v>
      </c>
      <c r="O10" s="29">
        <v>254928.4</v>
      </c>
    </row>
    <row r="11" spans="2:15" ht="15.75" customHeight="1">
      <c r="M11" s="29" t="s">
        <v>72</v>
      </c>
      <c r="N11" s="30">
        <v>54.914999999999999</v>
      </c>
      <c r="O11" s="29">
        <v>1737269.4</v>
      </c>
    </row>
    <row r="12" spans="2:15" ht="15.75" customHeight="1">
      <c r="B12" s="5" t="s">
        <v>73</v>
      </c>
      <c r="C12" s="15" t="s">
        <v>74</v>
      </c>
      <c r="D12" s="4">
        <f>G4/H4</f>
        <v>17.48</v>
      </c>
      <c r="E12" s="5" t="s">
        <v>62</v>
      </c>
      <c r="F12" s="5" t="s">
        <v>73</v>
      </c>
      <c r="G12" s="15">
        <f>D12*I4</f>
        <v>9614</v>
      </c>
      <c r="M12" s="29" t="s">
        <v>75</v>
      </c>
      <c r="N12" s="30" t="s">
        <v>76</v>
      </c>
      <c r="O12" s="31">
        <f>'Sector Pecuario'!D11</f>
        <v>1626.0070000000001</v>
      </c>
    </row>
    <row r="13" spans="2:15" ht="15.75" customHeight="1">
      <c r="B13" s="14"/>
      <c r="C13" s="27"/>
      <c r="D13" s="14"/>
      <c r="E13" s="14"/>
      <c r="G13" s="27"/>
      <c r="J13" s="29" t="s">
        <v>77</v>
      </c>
      <c r="K13" s="31">
        <f>D9+D15+D22</f>
        <v>1775.5466666666669</v>
      </c>
      <c r="M13" s="29" t="s">
        <v>78</v>
      </c>
      <c r="N13" s="30">
        <v>245.53800000000001</v>
      </c>
      <c r="O13" s="32">
        <f>'Sector Pecuario'!D7</f>
        <v>329.90111584868004</v>
      </c>
    </row>
    <row r="14" spans="2:15" ht="15.75" customHeight="1">
      <c r="J14" s="29" t="s">
        <v>80</v>
      </c>
      <c r="K14" s="31">
        <f>K13+'Sector Pecuario'!D7</f>
        <v>2105.4477825153467</v>
      </c>
      <c r="M14" s="29" t="s">
        <v>81</v>
      </c>
      <c r="N14" s="30" t="s">
        <v>82</v>
      </c>
      <c r="O14" s="31">
        <f>'Sector Industrial'!F11</f>
        <v>400</v>
      </c>
    </row>
    <row r="15" spans="2:15" ht="13.5" customHeight="1">
      <c r="B15" s="18" t="s">
        <v>89</v>
      </c>
      <c r="C15" s="36" t="s">
        <v>56</v>
      </c>
      <c r="D15" s="17">
        <f>F5/H5</f>
        <v>1177.5</v>
      </c>
      <c r="E15" s="5" t="s">
        <v>62</v>
      </c>
      <c r="F15" s="10" t="s">
        <v>92</v>
      </c>
      <c r="G15" s="2">
        <f>D15*I5</f>
        <v>2355</v>
      </c>
      <c r="H15" s="39" t="s">
        <v>94</v>
      </c>
      <c r="I15" s="4">
        <f>(J5/(K5-L5))/H5</f>
        <v>2.0215071690563522</v>
      </c>
      <c r="M15" s="29" t="s">
        <v>102</v>
      </c>
      <c r="N15" s="30" t="s">
        <v>104</v>
      </c>
      <c r="O15" s="41">
        <f>'Sector Domestico'!H8</f>
        <v>4.4999999999999998E-2</v>
      </c>
    </row>
    <row r="16" spans="2:15" ht="15.75" customHeight="1">
      <c r="B16" s="42"/>
      <c r="C16" s="44"/>
      <c r="D16" s="46"/>
      <c r="E16" s="46"/>
      <c r="J16" s="47"/>
      <c r="K16" s="48"/>
    </row>
    <row r="17" spans="2:14" ht="15.75" customHeight="1">
      <c r="N17" s="50"/>
    </row>
    <row r="18" spans="2:14" ht="15.75" customHeight="1">
      <c r="B18" s="5" t="s">
        <v>73</v>
      </c>
      <c r="C18" s="15" t="s">
        <v>74</v>
      </c>
      <c r="D18" s="4">
        <f>G5/H5</f>
        <v>265</v>
      </c>
      <c r="E18" s="5" t="s">
        <v>62</v>
      </c>
      <c r="F18" s="5" t="s">
        <v>73</v>
      </c>
      <c r="G18" s="15">
        <f>D18*I5</f>
        <v>530</v>
      </c>
      <c r="N18" s="50"/>
    </row>
    <row r="19" spans="2:14" ht="15.75" customHeight="1">
      <c r="C19" s="27"/>
      <c r="G19" s="27"/>
    </row>
    <row r="20" spans="2:14" ht="15.75" customHeight="1">
      <c r="N20" s="50"/>
    </row>
    <row r="21" spans="2:14" ht="15.75" customHeight="1">
      <c r="B21" s="11"/>
      <c r="F21" s="11"/>
      <c r="L21" s="51"/>
      <c r="N21" s="50"/>
    </row>
    <row r="22" spans="2:14" ht="15.75" customHeight="1">
      <c r="B22" s="5" t="s">
        <v>162</v>
      </c>
      <c r="C22" s="15" t="s">
        <v>56</v>
      </c>
      <c r="D22" s="4">
        <f>F6/H6</f>
        <v>479.16666666666669</v>
      </c>
      <c r="E22" s="5" t="s">
        <v>62</v>
      </c>
      <c r="F22" s="5" t="s">
        <v>164</v>
      </c>
      <c r="G22" s="15">
        <f>D22*I6</f>
        <v>21562.5</v>
      </c>
      <c r="H22" s="39" t="s">
        <v>165</v>
      </c>
      <c r="I22" s="4">
        <f>(J6/(K6-L6))/H6</f>
        <v>0.1389352006224297</v>
      </c>
    </row>
    <row r="23" spans="2:14" ht="15.75" customHeight="1">
      <c r="C23" s="27"/>
      <c r="G23" s="27"/>
    </row>
    <row r="24" spans="2:14" ht="15.75" customHeight="1"/>
    <row r="25" spans="2:14" ht="15.75" customHeight="1">
      <c r="B25" s="5" t="s">
        <v>73</v>
      </c>
      <c r="C25" s="15" t="s">
        <v>74</v>
      </c>
      <c r="D25" s="4">
        <f>G6/H6</f>
        <v>67.666666666666671</v>
      </c>
      <c r="E25" s="5" t="s">
        <v>62</v>
      </c>
      <c r="F25" s="5" t="s">
        <v>73</v>
      </c>
      <c r="G25" s="15">
        <f>D25*I6</f>
        <v>3045</v>
      </c>
    </row>
    <row r="26" spans="2:14" ht="15.75" customHeight="1">
      <c r="C26" s="27"/>
      <c r="G26" s="27"/>
    </row>
    <row r="27" spans="2:14" ht="15.75" customHeight="1">
      <c r="F27" s="55"/>
      <c r="G27" s="56"/>
      <c r="H27" s="55"/>
      <c r="I27" s="57"/>
    </row>
    <row r="28" spans="2:14" ht="15.75" customHeight="1">
      <c r="B28" s="52" t="s">
        <v>171</v>
      </c>
      <c r="C28" s="52" t="s">
        <v>62</v>
      </c>
      <c r="F28" s="55"/>
      <c r="G28" s="58"/>
      <c r="H28" s="59"/>
      <c r="I28" s="59"/>
    </row>
    <row r="29" spans="2:14" ht="15.75" customHeight="1">
      <c r="B29" s="31" t="s">
        <v>175</v>
      </c>
      <c r="C29" s="31">
        <f>D9+D15+D22</f>
        <v>1775.5466666666669</v>
      </c>
      <c r="F29" s="55"/>
      <c r="G29" s="60"/>
      <c r="H29" s="59"/>
      <c r="I29" s="59"/>
    </row>
    <row r="30" spans="2:14" ht="15.75" customHeight="1">
      <c r="B30" s="31" t="s">
        <v>179</v>
      </c>
      <c r="C30" s="31">
        <f>D12+D18+D25</f>
        <v>350.1466666666667</v>
      </c>
      <c r="F30" s="59"/>
      <c r="G30" s="59"/>
      <c r="H30" s="59"/>
      <c r="I30" s="59"/>
    </row>
    <row r="31" spans="2:14" ht="15.75" customHeight="1">
      <c r="B31" s="31" t="s">
        <v>114</v>
      </c>
      <c r="C31" s="31">
        <f>I22+I9+I15</f>
        <v>4.1747090363454493</v>
      </c>
      <c r="F31" s="59"/>
      <c r="G31" s="59"/>
      <c r="H31" s="60"/>
      <c r="I31" s="61"/>
      <c r="K31" s="53">
        <f>K23+K16+K10</f>
        <v>0</v>
      </c>
    </row>
    <row r="32" spans="2:14" ht="15.75" customHeight="1">
      <c r="B32" s="31" t="s">
        <v>186</v>
      </c>
      <c r="C32" s="31">
        <f>SUM(C29:C31)</f>
        <v>2129.8680423696792</v>
      </c>
      <c r="F32" s="59"/>
      <c r="G32" s="60"/>
      <c r="H32" s="59"/>
      <c r="I32" s="59"/>
    </row>
    <row r="33" spans="2:3" ht="15.75" customHeight="1"/>
    <row r="34" spans="2:3" ht="15.75" customHeight="1">
      <c r="B34" s="52" t="s">
        <v>171</v>
      </c>
      <c r="C34" s="52" t="s">
        <v>53</v>
      </c>
    </row>
    <row r="35" spans="2:3" ht="15.75" customHeight="1">
      <c r="B35" s="31" t="s">
        <v>175</v>
      </c>
      <c r="C35" s="31">
        <f>D9*M4+D15*M5+D22*M6</f>
        <v>1737269.4</v>
      </c>
    </row>
    <row r="36" spans="2:3" ht="15.75" customHeight="1">
      <c r="B36" s="31" t="s">
        <v>179</v>
      </c>
      <c r="C36" s="31">
        <f>D12*M4+D18*M5+D25*M6</f>
        <v>254928.4</v>
      </c>
    </row>
    <row r="37" spans="2:3" ht="15.75" customHeight="1">
      <c r="B37" s="31" t="s">
        <v>114</v>
      </c>
      <c r="C37" s="54">
        <f>I22+I15+I9</f>
        <v>4.1747090363454493</v>
      </c>
    </row>
    <row r="38" spans="2:3" ht="15.75" customHeight="1">
      <c r="B38" s="31" t="s">
        <v>186</v>
      </c>
      <c r="C38" s="31">
        <f>SUM(C35:C37)</f>
        <v>1992201.9747090361</v>
      </c>
    </row>
    <row r="39" spans="2:3" ht="15.75" customHeight="1"/>
    <row r="40" spans="2:3" ht="15.75" customHeight="1"/>
    <row r="41" spans="2:3" ht="15.75" customHeight="1"/>
    <row r="42" spans="2:3" ht="15.75" customHeight="1"/>
    <row r="43" spans="2:3" ht="15.75" customHeight="1"/>
    <row r="44" spans="2:3" ht="15.75" customHeight="1"/>
    <row r="45" spans="2:3" ht="15.75" customHeight="1"/>
    <row r="46" spans="2:3" ht="15.75" customHeight="1"/>
    <row r="47" spans="2:3" ht="15.75" customHeight="1"/>
    <row r="48" spans="2:3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B2:I2"/>
    <mergeCell ref="C8:E8"/>
    <mergeCell ref="G8:I8"/>
    <mergeCell ref="B3:C3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O1000"/>
  <sheetViews>
    <sheetView topLeftCell="M1" workbookViewId="0">
      <selection activeCell="D14" sqref="D14"/>
    </sheetView>
  </sheetViews>
  <sheetFormatPr baseColWidth="10" defaultColWidth="14.42578125" defaultRowHeight="15" customHeight="1"/>
  <cols>
    <col min="1" max="1" width="7.5703125" customWidth="1"/>
    <col min="2" max="2" width="16.7109375" customWidth="1"/>
    <col min="3" max="3" width="17.7109375" customWidth="1"/>
    <col min="4" max="4" width="12" customWidth="1"/>
    <col min="5" max="5" width="11.85546875" customWidth="1"/>
    <col min="6" max="6" width="8.7109375" customWidth="1"/>
    <col min="7" max="7" width="4.140625" customWidth="1"/>
    <col min="8" max="8" width="4" customWidth="1"/>
    <col min="9" max="9" width="11.42578125" customWidth="1"/>
    <col min="11" max="11" width="14.5703125" customWidth="1"/>
    <col min="12" max="12" width="21.85546875" customWidth="1"/>
    <col min="13" max="13" width="25.5703125" customWidth="1"/>
    <col min="14" max="14" width="17" customWidth="1"/>
  </cols>
  <sheetData>
    <row r="1" spans="2:15" ht="21.75" customHeight="1"/>
    <row r="2" spans="2:15" ht="22.5" customHeight="1">
      <c r="B2" s="66" t="s">
        <v>2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8"/>
    </row>
    <row r="3" spans="2:15" ht="24" customHeight="1">
      <c r="B3" s="79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</row>
    <row r="4" spans="2:15" ht="38.25">
      <c r="G4" s="1"/>
      <c r="H4" s="1"/>
      <c r="I4" s="2" t="s">
        <v>3</v>
      </c>
      <c r="J4" s="3" t="s">
        <v>4</v>
      </c>
      <c r="K4" s="2" t="s">
        <v>6</v>
      </c>
      <c r="L4" s="3" t="s">
        <v>7</v>
      </c>
      <c r="M4" s="3" t="s">
        <v>8</v>
      </c>
      <c r="N4" s="3" t="s">
        <v>9</v>
      </c>
    </row>
    <row r="5" spans="2:15" ht="15.75" customHeight="1">
      <c r="I5" s="5" t="s">
        <v>10</v>
      </c>
      <c r="J5" s="5">
        <v>7273</v>
      </c>
      <c r="K5" s="5">
        <v>100</v>
      </c>
      <c r="L5" s="5">
        <v>22.045999999999999</v>
      </c>
      <c r="M5" s="5">
        <v>0.3</v>
      </c>
      <c r="N5" s="5">
        <v>10</v>
      </c>
    </row>
    <row r="6" spans="2:15" ht="15.75" customHeight="1"/>
    <row r="7" spans="2:15" ht="15.75" customHeight="1">
      <c r="B7" s="76" t="s">
        <v>26</v>
      </c>
      <c r="C7" s="68"/>
      <c r="D7" s="5">
        <f>J5/L5</f>
        <v>329.90111584868004</v>
      </c>
      <c r="E7" s="5" t="s">
        <v>33</v>
      </c>
    </row>
    <row r="8" spans="2:15" ht="23.25" customHeight="1">
      <c r="B8" s="76" t="s">
        <v>34</v>
      </c>
      <c r="C8" s="68"/>
      <c r="D8" s="4">
        <f>(J5*K5)/(L5*K5)</f>
        <v>329.90111584868004</v>
      </c>
      <c r="E8" s="5" t="s">
        <v>33</v>
      </c>
      <c r="I8" s="4" t="s">
        <v>38</v>
      </c>
      <c r="J8" s="3" t="s">
        <v>39</v>
      </c>
      <c r="K8" s="8" t="s">
        <v>40</v>
      </c>
      <c r="L8" s="8" t="s">
        <v>41</v>
      </c>
      <c r="M8" s="10" t="s">
        <v>42</v>
      </c>
      <c r="N8" s="10" t="s">
        <v>46</v>
      </c>
      <c r="O8" s="12"/>
    </row>
    <row r="9" spans="2:15" ht="15.75" customHeight="1">
      <c r="I9" s="5" t="s">
        <v>47</v>
      </c>
      <c r="J9" s="5">
        <v>20395</v>
      </c>
      <c r="K9" s="5">
        <v>7.0000000000000007E-2</v>
      </c>
      <c r="L9" s="4">
        <f t="shared" ref="L9:L11" si="0">J9*K9</f>
        <v>1427.65</v>
      </c>
      <c r="M9" s="5">
        <v>210.9</v>
      </c>
      <c r="N9" s="5">
        <v>240.6</v>
      </c>
    </row>
    <row r="10" spans="2:15" ht="15.75" customHeight="1">
      <c r="I10" s="5" t="s">
        <v>49</v>
      </c>
      <c r="J10" s="5">
        <v>10830</v>
      </c>
      <c r="K10" s="5">
        <v>0.01</v>
      </c>
      <c r="L10" s="4">
        <f t="shared" si="0"/>
        <v>108.3</v>
      </c>
      <c r="M10" s="5">
        <v>35</v>
      </c>
      <c r="N10" s="5"/>
    </row>
    <row r="11" spans="2:15" ht="15.75" customHeight="1">
      <c r="B11" s="76" t="s">
        <v>50</v>
      </c>
      <c r="C11" s="68"/>
      <c r="D11" s="4">
        <f>L9+L10+L11+J14</f>
        <v>1626.0070000000001</v>
      </c>
      <c r="E11" s="5" t="s">
        <v>51</v>
      </c>
      <c r="I11" s="5" t="s">
        <v>52</v>
      </c>
      <c r="J11" s="5">
        <v>1800</v>
      </c>
      <c r="K11" s="5">
        <v>0.05</v>
      </c>
      <c r="L11" s="4">
        <f t="shared" si="0"/>
        <v>90</v>
      </c>
      <c r="M11" s="5">
        <v>1750</v>
      </c>
      <c r="N11" s="5"/>
    </row>
    <row r="12" spans="2:15" ht="15.75" customHeight="1">
      <c r="B12" s="1"/>
    </row>
    <row r="13" spans="2:15" ht="15.75" customHeight="1"/>
    <row r="14" spans="2:15" ht="15.75" customHeight="1">
      <c r="B14" s="77" t="s">
        <v>54</v>
      </c>
      <c r="C14" s="78"/>
      <c r="D14" s="62">
        <f>D8+D11+C18+C19+C20</f>
        <v>2186.4751261579586</v>
      </c>
      <c r="E14" s="63" t="s">
        <v>51</v>
      </c>
      <c r="I14" s="5" t="s">
        <v>59</v>
      </c>
      <c r="J14" s="5">
        <v>5.7000000000000002E-2</v>
      </c>
      <c r="K14" s="5" t="s">
        <v>60</v>
      </c>
    </row>
    <row r="15" spans="2:15" ht="15.75" customHeight="1">
      <c r="B15" s="74" t="s">
        <v>54</v>
      </c>
      <c r="C15" s="75"/>
      <c r="D15" s="64">
        <f>D14*365</f>
        <v>798063.42104765493</v>
      </c>
      <c r="E15" s="65" t="s">
        <v>53</v>
      </c>
    </row>
    <row r="16" spans="2:15" ht="15.75" customHeight="1">
      <c r="I16" s="1"/>
      <c r="K16" s="1"/>
    </row>
    <row r="17" spans="2:5" ht="15.75" customHeight="1"/>
    <row r="18" spans="2:5" ht="15.75" customHeight="1">
      <c r="B18" s="5" t="s">
        <v>61</v>
      </c>
      <c r="C18" s="16">
        <f>(M9+N9)/(N5-M5)</f>
        <v>46.546391752577321</v>
      </c>
      <c r="D18" s="19"/>
      <c r="E18" s="14"/>
    </row>
    <row r="19" spans="2:5" ht="15.75" customHeight="1">
      <c r="B19" s="4" t="s">
        <v>64</v>
      </c>
      <c r="C19" s="16">
        <f>M10/(N5-M5)</f>
        <v>3.6082474226804124</v>
      </c>
    </row>
    <row r="20" spans="2:5" ht="15.75" customHeight="1">
      <c r="B20" s="4" t="s">
        <v>65</v>
      </c>
      <c r="C20" s="16">
        <f>M11/(N5-M5)</f>
        <v>180.41237113402065</v>
      </c>
    </row>
    <row r="21" spans="2:5" ht="15.75" customHeight="1">
      <c r="C21" s="22"/>
    </row>
    <row r="22" spans="2:5" ht="15.75" customHeight="1">
      <c r="C22" s="22"/>
    </row>
    <row r="23" spans="2:5" ht="15.75" customHeight="1"/>
    <row r="24" spans="2:5" ht="15.75" customHeight="1"/>
    <row r="25" spans="2:5" ht="15.75" customHeight="1"/>
    <row r="26" spans="2:5" ht="15.75" customHeight="1"/>
    <row r="27" spans="2:5" ht="15.75" customHeight="1"/>
    <row r="28" spans="2:5" ht="15.75" customHeight="1"/>
    <row r="29" spans="2:5" ht="15.75" customHeight="1"/>
    <row r="30" spans="2:5" ht="15.75" customHeight="1"/>
    <row r="31" spans="2:5" ht="15.75" customHeight="1"/>
    <row r="32" spans="2:5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B15:C15"/>
    <mergeCell ref="B2:M2"/>
    <mergeCell ref="B7:C7"/>
    <mergeCell ref="B11:C11"/>
    <mergeCell ref="B8:C8"/>
    <mergeCell ref="B14:C14"/>
    <mergeCell ref="B3:M3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D1:U1000"/>
  <sheetViews>
    <sheetView topLeftCell="P1" workbookViewId="0">
      <selection activeCell="H25" sqref="H25"/>
    </sheetView>
  </sheetViews>
  <sheetFormatPr baseColWidth="10" defaultColWidth="14.42578125" defaultRowHeight="15" customHeight="1"/>
  <cols>
    <col min="1" max="1" width="5.140625" customWidth="1"/>
    <col min="2" max="2" width="5.7109375" customWidth="1"/>
    <col min="3" max="3" width="5.5703125" customWidth="1"/>
    <col min="4" max="4" width="14.42578125" customWidth="1"/>
    <col min="5" max="5" width="12.5703125" customWidth="1"/>
    <col min="6" max="6" width="18" customWidth="1"/>
    <col min="7" max="7" width="10.28515625" customWidth="1"/>
    <col min="8" max="8" width="16" customWidth="1"/>
    <col min="9" max="9" width="14.7109375" customWidth="1"/>
    <col min="11" max="11" width="12.42578125" customWidth="1"/>
  </cols>
  <sheetData>
    <row r="1" spans="4:21" ht="15.75" customHeight="1"/>
    <row r="2" spans="4:21" ht="26.25" customHeight="1">
      <c r="D2" s="66" t="s">
        <v>1</v>
      </c>
      <c r="E2" s="67"/>
      <c r="F2" s="67"/>
      <c r="G2" s="67"/>
      <c r="H2" s="67"/>
      <c r="I2" s="67"/>
      <c r="J2" s="67"/>
      <c r="K2" s="67"/>
      <c r="L2" s="67"/>
      <c r="M2" s="67"/>
      <c r="N2" s="68"/>
    </row>
    <row r="3" spans="4:21" ht="15.75" customHeight="1"/>
    <row r="4" spans="4:21" ht="15.75" customHeight="1"/>
    <row r="5" spans="4:21" ht="76.5">
      <c r="G5" s="4"/>
      <c r="H5" s="3" t="s">
        <v>11</v>
      </c>
      <c r="I5" s="3" t="s">
        <v>12</v>
      </c>
      <c r="J5" s="3" t="s">
        <v>13</v>
      </c>
      <c r="K5" s="3" t="s">
        <v>14</v>
      </c>
      <c r="L5" s="3" t="s">
        <v>15</v>
      </c>
      <c r="M5" s="3" t="s">
        <v>16</v>
      </c>
      <c r="N5" s="3" t="s">
        <v>17</v>
      </c>
      <c r="O5" s="3" t="s">
        <v>18</v>
      </c>
      <c r="P5" s="3" t="s">
        <v>19</v>
      </c>
      <c r="Q5" s="3" t="s">
        <v>20</v>
      </c>
      <c r="R5" s="3" t="s">
        <v>21</v>
      </c>
      <c r="S5" s="3" t="s">
        <v>22</v>
      </c>
      <c r="T5" s="3" t="s">
        <v>23</v>
      </c>
      <c r="U5" s="3" t="s">
        <v>24</v>
      </c>
    </row>
    <row r="6" spans="4:21" ht="15.75" customHeight="1">
      <c r="G6" s="5" t="s">
        <v>25</v>
      </c>
      <c r="H6" s="5">
        <v>4</v>
      </c>
      <c r="I6" s="5">
        <v>8</v>
      </c>
      <c r="J6" s="5">
        <v>10800</v>
      </c>
      <c r="K6" s="5">
        <v>1</v>
      </c>
      <c r="L6" s="4">
        <v>1460</v>
      </c>
      <c r="M6" s="5">
        <v>40</v>
      </c>
      <c r="N6" s="5">
        <v>8.8000000000000007</v>
      </c>
      <c r="O6" s="5">
        <f>I6*365</f>
        <v>2920</v>
      </c>
      <c r="P6" s="5">
        <v>15</v>
      </c>
      <c r="Q6" s="5">
        <v>6.2</v>
      </c>
      <c r="R6" s="5">
        <v>0.1</v>
      </c>
      <c r="S6" s="5">
        <v>0.3</v>
      </c>
      <c r="T6" s="5">
        <v>0.5</v>
      </c>
      <c r="U6" s="5">
        <v>10</v>
      </c>
    </row>
    <row r="7" spans="4:21" ht="15.75" customHeight="1"/>
    <row r="8" spans="4:21" ht="15.75" customHeight="1">
      <c r="D8" s="76" t="s">
        <v>35</v>
      </c>
      <c r="E8" s="68"/>
      <c r="F8" s="4">
        <f>SUM((I6-H6)*(K6))/J6</f>
        <v>3.7037037037037035E-4</v>
      </c>
    </row>
    <row r="9" spans="4:21" ht="15.75" customHeight="1">
      <c r="H9" s="12"/>
      <c r="I9" s="11"/>
    </row>
    <row r="10" spans="4:21" ht="12.75">
      <c r="H10" s="12"/>
      <c r="I10" s="11"/>
    </row>
    <row r="11" spans="4:21" ht="16.5" customHeight="1">
      <c r="D11" s="80" t="s">
        <v>48</v>
      </c>
      <c r="E11" s="68"/>
      <c r="F11" s="4">
        <f>SUM(F8*J6)*100</f>
        <v>400</v>
      </c>
      <c r="G11" s="11" t="s">
        <v>53</v>
      </c>
      <c r="H11" s="12"/>
      <c r="I11" s="11"/>
    </row>
    <row r="12" spans="4:21" ht="15.75" customHeight="1">
      <c r="H12" s="12"/>
      <c r="I12" s="11"/>
    </row>
    <row r="13" spans="4:21" ht="12.75">
      <c r="H13" s="12"/>
      <c r="I13" s="14"/>
    </row>
    <row r="14" spans="4:21" ht="12.75">
      <c r="D14" s="76" t="s">
        <v>57</v>
      </c>
      <c r="E14" s="68"/>
      <c r="F14" s="4">
        <f>SUM((L6*(M6+N6)-O6*(P6+Q6))*(K6))/SUM(J6)</f>
        <v>0.86518518518518517</v>
      </c>
      <c r="H14" s="12"/>
      <c r="I14" s="11"/>
    </row>
    <row r="15" spans="4:21" ht="15.75" customHeight="1">
      <c r="H15" s="12"/>
      <c r="I15" s="11"/>
    </row>
    <row r="16" spans="4:21" ht="12.75">
      <c r="H16" s="12"/>
      <c r="I16" s="11"/>
    </row>
    <row r="17" spans="4:9" ht="12.75">
      <c r="D17" s="76" t="s">
        <v>58</v>
      </c>
      <c r="E17" s="68"/>
      <c r="F17" s="4">
        <f>SUM((F14*J6)/(T6+U6)-(R6+S6))</f>
        <v>889.50476190476195</v>
      </c>
      <c r="G17" s="11" t="s">
        <v>53</v>
      </c>
      <c r="H17" s="12"/>
      <c r="I17" s="11"/>
    </row>
    <row r="18" spans="4:9" ht="17.25" customHeight="1">
      <c r="H18" s="12"/>
      <c r="I18" s="11"/>
    </row>
    <row r="19" spans="4:9" ht="12.75">
      <c r="H19" s="12"/>
      <c r="I19" s="11"/>
    </row>
    <row r="20" spans="4:9" ht="12.75">
      <c r="H20" s="12"/>
      <c r="I20" s="11"/>
    </row>
    <row r="21" spans="4:9" ht="15.75" customHeight="1">
      <c r="H21" s="12"/>
      <c r="I21" s="11"/>
    </row>
    <row r="22" spans="4:9" ht="15.75" customHeight="1">
      <c r="H22" s="12"/>
      <c r="I22" s="11"/>
    </row>
    <row r="23" spans="4:9" ht="15.75" customHeight="1"/>
    <row r="24" spans="4:9" ht="15.75" customHeight="1"/>
    <row r="25" spans="4:9" ht="15.75" customHeight="1"/>
    <row r="26" spans="4:9" ht="15.75" customHeight="1"/>
    <row r="27" spans="4:9" ht="15.75" customHeight="1"/>
    <row r="28" spans="4:9" ht="15.75" customHeight="1"/>
    <row r="29" spans="4:9" ht="15.75" customHeight="1"/>
    <row r="30" spans="4:9" ht="15.75" customHeight="1"/>
    <row r="31" spans="4:9" ht="15.75" customHeight="1"/>
    <row r="32" spans="4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D8:E8"/>
    <mergeCell ref="D11:E11"/>
    <mergeCell ref="D14:E14"/>
    <mergeCell ref="D17:E17"/>
    <mergeCell ref="D2:N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K1000"/>
  <sheetViews>
    <sheetView topLeftCell="D1" workbookViewId="0">
      <selection activeCell="F10" sqref="F10"/>
    </sheetView>
  </sheetViews>
  <sheetFormatPr baseColWidth="10" defaultColWidth="14.42578125" defaultRowHeight="15" customHeight="1"/>
  <cols>
    <col min="1" max="1" width="11" customWidth="1"/>
    <col min="2" max="2" width="21" customWidth="1"/>
    <col min="3" max="3" width="43.7109375" customWidth="1"/>
    <col min="4" max="4" width="10" customWidth="1"/>
    <col min="5" max="5" width="6.28515625" customWidth="1"/>
    <col min="6" max="6" width="14.42578125" customWidth="1"/>
  </cols>
  <sheetData>
    <row r="1" spans="1:11" ht="15.75" customHeight="1"/>
    <row r="2" spans="1:11" ht="23.25" customHeight="1">
      <c r="B2" s="66" t="s">
        <v>79</v>
      </c>
      <c r="C2" s="67"/>
      <c r="D2" s="67"/>
      <c r="E2" s="67"/>
      <c r="F2" s="67"/>
      <c r="G2" s="67"/>
      <c r="H2" s="67"/>
      <c r="I2" s="67"/>
      <c r="J2" s="68"/>
      <c r="K2" s="33"/>
    </row>
    <row r="3" spans="1:11" ht="15.75" customHeight="1"/>
    <row r="4" spans="1:11" ht="15.75" customHeight="1"/>
    <row r="5" spans="1:11" ht="15.75" customHeight="1">
      <c r="A5" s="27"/>
      <c r="B5" s="2" t="s">
        <v>83</v>
      </c>
      <c r="C5" s="2" t="s">
        <v>84</v>
      </c>
      <c r="D5" s="2" t="s">
        <v>85</v>
      </c>
      <c r="E5" s="2" t="s">
        <v>86</v>
      </c>
      <c r="G5" s="11"/>
    </row>
    <row r="6" spans="1:11" ht="15.75" customHeight="1">
      <c r="B6" s="5" t="s">
        <v>87</v>
      </c>
      <c r="C6" s="10" t="s">
        <v>88</v>
      </c>
      <c r="D6" s="34"/>
      <c r="E6" s="5"/>
    </row>
    <row r="7" spans="1:11" ht="15.75" customHeight="1">
      <c r="B7" s="5" t="s">
        <v>90</v>
      </c>
      <c r="C7" s="10" t="s">
        <v>91</v>
      </c>
      <c r="D7" s="38">
        <v>30.03</v>
      </c>
      <c r="E7" s="5" t="s">
        <v>95</v>
      </c>
      <c r="G7" s="13"/>
      <c r="H7" s="4">
        <f>(D16-D17)+(D12-D19)+D9</f>
        <v>45.6</v>
      </c>
      <c r="I7" s="4" t="s">
        <v>96</v>
      </c>
    </row>
    <row r="8" spans="1:11" ht="15.75" customHeight="1">
      <c r="B8" s="5" t="s">
        <v>97</v>
      </c>
      <c r="C8" s="10" t="s">
        <v>98</v>
      </c>
      <c r="D8" s="34" t="s">
        <v>99</v>
      </c>
      <c r="E8" s="5" t="s">
        <v>95</v>
      </c>
      <c r="G8" s="23" t="s">
        <v>100</v>
      </c>
      <c r="H8" s="40">
        <v>4.4999999999999998E-2</v>
      </c>
      <c r="I8" s="5" t="s">
        <v>105</v>
      </c>
    </row>
    <row r="9" spans="1:11" ht="15.75" customHeight="1">
      <c r="B9" s="5" t="s">
        <v>106</v>
      </c>
      <c r="C9" s="10" t="s">
        <v>107</v>
      </c>
      <c r="D9" s="34"/>
      <c r="E9" s="5"/>
    </row>
    <row r="10" spans="1:11" ht="15.75" customHeight="1">
      <c r="B10" s="5" t="s">
        <v>108</v>
      </c>
      <c r="C10" s="10" t="s">
        <v>109</v>
      </c>
      <c r="D10" s="34">
        <v>2.0699999999999998</v>
      </c>
      <c r="E10" s="5" t="s">
        <v>96</v>
      </c>
    </row>
    <row r="11" spans="1:11" ht="13.5" customHeight="1">
      <c r="B11" s="5" t="s">
        <v>110</v>
      </c>
      <c r="C11" s="10" t="s">
        <v>111</v>
      </c>
      <c r="D11" s="34">
        <v>0.7</v>
      </c>
      <c r="E11" s="5" t="s">
        <v>96</v>
      </c>
      <c r="G11" s="11"/>
      <c r="H11" s="4">
        <f>(D10*D25+D17*D26+D22*D28+D21*D27-D7*D29)/(D30-D31)</f>
        <v>86.799807228915668</v>
      </c>
      <c r="I11" s="4" t="s">
        <v>96</v>
      </c>
    </row>
    <row r="12" spans="1:11" ht="15.75" customHeight="1">
      <c r="B12" s="5" t="s">
        <v>112</v>
      </c>
      <c r="C12" s="10" t="s">
        <v>113</v>
      </c>
      <c r="D12" s="34">
        <f>0.8*56</f>
        <v>44.800000000000004</v>
      </c>
      <c r="E12" s="5" t="s">
        <v>96</v>
      </c>
      <c r="G12" s="5" t="s">
        <v>114</v>
      </c>
      <c r="H12" s="43">
        <v>8.5000000000000006E-2</v>
      </c>
      <c r="I12" s="5" t="s">
        <v>105</v>
      </c>
    </row>
    <row r="13" spans="1:11" ht="15.75" customHeight="1">
      <c r="B13" s="5" t="s">
        <v>116</v>
      </c>
      <c r="C13" s="10" t="s">
        <v>118</v>
      </c>
      <c r="D13" s="34" t="s">
        <v>119</v>
      </c>
      <c r="E13" s="5" t="s">
        <v>120</v>
      </c>
    </row>
    <row r="14" spans="1:11" ht="15.75" customHeight="1">
      <c r="B14" s="5" t="s">
        <v>121</v>
      </c>
      <c r="C14" s="10" t="s">
        <v>122</v>
      </c>
      <c r="D14" s="34" t="s">
        <v>123</v>
      </c>
      <c r="E14" s="5" t="s">
        <v>120</v>
      </c>
    </row>
    <row r="15" spans="1:11" ht="15.75" customHeight="1">
      <c r="B15" s="5" t="s">
        <v>124</v>
      </c>
      <c r="C15" s="10" t="s">
        <v>125</v>
      </c>
      <c r="D15" s="45">
        <v>21</v>
      </c>
      <c r="E15" s="5" t="s">
        <v>120</v>
      </c>
      <c r="G15" s="64" t="s">
        <v>196</v>
      </c>
      <c r="H15" s="64">
        <f>(H8*(86400*360))+(H12*(86400*360))</f>
        <v>4043520</v>
      </c>
      <c r="I15" s="31" t="s">
        <v>53</v>
      </c>
    </row>
    <row r="16" spans="1:11" ht="17.25" customHeight="1">
      <c r="B16" s="5" t="s">
        <v>126</v>
      </c>
      <c r="C16" s="10" t="s">
        <v>127</v>
      </c>
      <c r="D16" s="34">
        <v>65</v>
      </c>
      <c r="E16" s="5" t="s">
        <v>96</v>
      </c>
    </row>
    <row r="17" spans="2:7" ht="16.5" customHeight="1">
      <c r="B17" s="5" t="s">
        <v>128</v>
      </c>
      <c r="C17" s="10" t="s">
        <v>129</v>
      </c>
      <c r="D17" s="34">
        <v>21</v>
      </c>
      <c r="E17" s="5" t="s">
        <v>96</v>
      </c>
    </row>
    <row r="18" spans="2:7" ht="15.75" customHeight="1">
      <c r="B18" s="5" t="s">
        <v>130</v>
      </c>
      <c r="C18" s="10" t="s">
        <v>131</v>
      </c>
      <c r="D18" s="34">
        <v>274</v>
      </c>
      <c r="E18" s="5" t="s">
        <v>132</v>
      </c>
    </row>
    <row r="19" spans="2:7" ht="15.75" customHeight="1">
      <c r="B19" s="5" t="s">
        <v>133</v>
      </c>
      <c r="C19" s="10" t="s">
        <v>134</v>
      </c>
      <c r="D19" s="34">
        <v>43.2</v>
      </c>
      <c r="E19" s="5" t="s">
        <v>95</v>
      </c>
    </row>
    <row r="20" spans="2:7" ht="12.75">
      <c r="B20" s="5" t="s">
        <v>135</v>
      </c>
      <c r="C20" s="10" t="s">
        <v>136</v>
      </c>
      <c r="D20" s="34">
        <v>83.33</v>
      </c>
      <c r="E20" s="5" t="s">
        <v>120</v>
      </c>
    </row>
    <row r="21" spans="2:7" ht="15.75" customHeight="1">
      <c r="B21" s="5" t="s">
        <v>137</v>
      </c>
      <c r="C21" s="10" t="s">
        <v>139</v>
      </c>
      <c r="D21" s="49">
        <v>40</v>
      </c>
      <c r="E21" s="5" t="s">
        <v>95</v>
      </c>
    </row>
    <row r="22" spans="2:7" ht="14.25" customHeight="1">
      <c r="B22" s="5" t="s">
        <v>141</v>
      </c>
      <c r="C22" s="10" t="s">
        <v>142</v>
      </c>
      <c r="D22" s="34">
        <v>365</v>
      </c>
      <c r="E22" s="5" t="s">
        <v>95</v>
      </c>
    </row>
    <row r="23" spans="2:7" ht="15.75" customHeight="1">
      <c r="B23" s="5" t="s">
        <v>143</v>
      </c>
      <c r="C23" s="10" t="s">
        <v>144</v>
      </c>
      <c r="D23" s="34">
        <v>42</v>
      </c>
      <c r="E23" s="5" t="s">
        <v>120</v>
      </c>
    </row>
    <row r="24" spans="2:7" ht="15.75" customHeight="1">
      <c r="B24" s="5" t="s">
        <v>145</v>
      </c>
      <c r="C24" s="10" t="s">
        <v>146</v>
      </c>
      <c r="D24" s="5">
        <v>274</v>
      </c>
      <c r="E24" s="5" t="s">
        <v>132</v>
      </c>
      <c r="F24" s="11"/>
      <c r="G24" s="11"/>
    </row>
    <row r="25" spans="2:7" ht="15.75" customHeight="1">
      <c r="B25" s="5" t="s">
        <v>147</v>
      </c>
      <c r="C25" s="10" t="s">
        <v>148</v>
      </c>
      <c r="D25" s="5">
        <v>20</v>
      </c>
      <c r="E25" s="5" t="s">
        <v>132</v>
      </c>
      <c r="F25" s="11"/>
      <c r="G25" s="11"/>
    </row>
    <row r="26" spans="2:7" ht="15.75" customHeight="1">
      <c r="B26" s="5" t="s">
        <v>149</v>
      </c>
      <c r="C26" s="10" t="s">
        <v>150</v>
      </c>
      <c r="D26" s="5">
        <v>42.3</v>
      </c>
      <c r="E26" s="5" t="s">
        <v>132</v>
      </c>
      <c r="F26" s="11"/>
      <c r="G26" s="11"/>
    </row>
    <row r="27" spans="2:7" ht="15.75" customHeight="1">
      <c r="B27" s="5" t="s">
        <v>151</v>
      </c>
      <c r="C27" s="10" t="s">
        <v>152</v>
      </c>
      <c r="D27" s="5">
        <v>35.85</v>
      </c>
      <c r="E27" s="5" t="s">
        <v>132</v>
      </c>
      <c r="F27" s="11"/>
      <c r="G27" s="11"/>
    </row>
    <row r="28" spans="2:7" ht="15.75" customHeight="1">
      <c r="B28" s="5" t="s">
        <v>153</v>
      </c>
      <c r="C28" s="10" t="s">
        <v>154</v>
      </c>
      <c r="D28" s="5">
        <v>15.5</v>
      </c>
      <c r="E28" s="5" t="s">
        <v>132</v>
      </c>
      <c r="G28" s="11"/>
    </row>
    <row r="29" spans="2:7" ht="15.75" customHeight="1">
      <c r="B29" s="5" t="s">
        <v>156</v>
      </c>
      <c r="C29" s="10" t="s">
        <v>157</v>
      </c>
      <c r="D29" s="5">
        <v>27.2</v>
      </c>
      <c r="E29" s="5" t="s">
        <v>132</v>
      </c>
      <c r="F29" s="11"/>
      <c r="G29" s="11"/>
    </row>
    <row r="30" spans="2:7" ht="15.75" customHeight="1">
      <c r="B30" s="5" t="s">
        <v>158</v>
      </c>
      <c r="C30" s="10" t="s">
        <v>159</v>
      </c>
      <c r="D30" s="5">
        <v>90</v>
      </c>
      <c r="E30" s="5" t="s">
        <v>132</v>
      </c>
      <c r="G30" s="11"/>
    </row>
    <row r="31" spans="2:7" ht="15.75" customHeight="1">
      <c r="B31" s="5" t="s">
        <v>160</v>
      </c>
      <c r="C31" s="10" t="s">
        <v>161</v>
      </c>
      <c r="D31" s="5">
        <v>7</v>
      </c>
      <c r="E31" s="5" t="s">
        <v>132</v>
      </c>
      <c r="G31" s="11"/>
    </row>
    <row r="32" spans="2:7" ht="15.75" customHeight="1"/>
    <row r="33" spans="4:4" ht="15.75" customHeight="1">
      <c r="D33" s="11"/>
    </row>
    <row r="34" spans="4:4" ht="15.75" customHeight="1"/>
    <row r="35" spans="4:4" ht="15.75" customHeight="1"/>
    <row r="36" spans="4:4" ht="15.75" customHeight="1"/>
    <row r="37" spans="4:4" ht="15.75" customHeight="1"/>
    <row r="38" spans="4:4" ht="15.75" customHeight="1"/>
    <row r="39" spans="4:4" ht="15.75" customHeight="1"/>
    <row r="40" spans="4:4" ht="15.75" customHeight="1"/>
    <row r="41" spans="4:4" ht="15.75" customHeight="1"/>
    <row r="42" spans="4:4" ht="15.75" customHeight="1"/>
    <row r="43" spans="4:4" ht="15.75" customHeight="1"/>
    <row r="44" spans="4:4" ht="15.75" customHeight="1"/>
    <row r="45" spans="4:4" ht="15.75" customHeight="1"/>
    <row r="46" spans="4:4" ht="15.75" customHeight="1"/>
    <row r="47" spans="4:4" ht="15.75" customHeight="1"/>
    <row r="48" spans="4:4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2:J2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K1000"/>
  <sheetViews>
    <sheetView workbookViewId="0"/>
  </sheetViews>
  <sheetFormatPr baseColWidth="10" defaultColWidth="14.42578125" defaultRowHeight="15" customHeight="1"/>
  <cols>
    <col min="1" max="6" width="14.42578125" customWidth="1"/>
    <col min="11" max="11" width="22.7109375" customWidth="1"/>
  </cols>
  <sheetData>
    <row r="1" spans="2:11" ht="16.5" customHeight="1"/>
    <row r="2" spans="2:11" ht="15.75" customHeight="1"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2:11" ht="18.75" customHeight="1">
      <c r="B3" s="37" t="s">
        <v>67</v>
      </c>
      <c r="C3" s="87" t="s">
        <v>93</v>
      </c>
      <c r="D3" s="67"/>
      <c r="E3" s="67"/>
      <c r="F3" s="67"/>
      <c r="G3" s="67"/>
      <c r="H3" s="67"/>
      <c r="I3" s="67"/>
      <c r="J3" s="67"/>
      <c r="K3" s="68"/>
    </row>
    <row r="4" spans="2:11" ht="16.5" customHeight="1">
      <c r="B4" s="82" t="s">
        <v>101</v>
      </c>
      <c r="C4" s="86" t="s">
        <v>103</v>
      </c>
      <c r="D4" s="67"/>
      <c r="E4" s="67"/>
      <c r="F4" s="67"/>
      <c r="G4" s="67"/>
      <c r="H4" s="67"/>
      <c r="I4" s="67"/>
      <c r="J4" s="67"/>
      <c r="K4" s="68"/>
    </row>
    <row r="5" spans="2:11" ht="28.5" customHeight="1">
      <c r="B5" s="83"/>
      <c r="C5" s="86" t="s">
        <v>115</v>
      </c>
      <c r="D5" s="67"/>
      <c r="E5" s="67"/>
      <c r="F5" s="67"/>
      <c r="G5" s="67"/>
      <c r="H5" s="67"/>
      <c r="I5" s="67"/>
      <c r="J5" s="67"/>
      <c r="K5" s="68"/>
    </row>
    <row r="6" spans="2:11" ht="15.75" customHeight="1">
      <c r="B6" s="83"/>
      <c r="C6" s="86" t="s">
        <v>117</v>
      </c>
      <c r="D6" s="67"/>
      <c r="E6" s="67"/>
      <c r="F6" s="67"/>
      <c r="G6" s="67"/>
      <c r="H6" s="67"/>
      <c r="I6" s="67"/>
      <c r="J6" s="67"/>
      <c r="K6" s="68"/>
    </row>
    <row r="7" spans="2:11" ht="15.75" customHeight="1">
      <c r="B7" s="83"/>
      <c r="C7" s="86" t="s">
        <v>138</v>
      </c>
      <c r="D7" s="67"/>
      <c r="E7" s="67"/>
      <c r="F7" s="67"/>
      <c r="G7" s="67"/>
      <c r="H7" s="67"/>
      <c r="I7" s="67"/>
      <c r="J7" s="67"/>
      <c r="K7" s="68"/>
    </row>
    <row r="8" spans="2:11" ht="15.75" customHeight="1">
      <c r="B8" s="83"/>
      <c r="C8" s="86" t="s">
        <v>140</v>
      </c>
      <c r="D8" s="67"/>
      <c r="E8" s="67"/>
      <c r="F8" s="67"/>
      <c r="G8" s="67"/>
      <c r="H8" s="67"/>
      <c r="I8" s="67"/>
      <c r="J8" s="67"/>
      <c r="K8" s="68"/>
    </row>
    <row r="9" spans="2:11" ht="12.75">
      <c r="B9" s="83"/>
      <c r="C9" s="89" t="s">
        <v>155</v>
      </c>
      <c r="D9" s="67"/>
      <c r="E9" s="67"/>
      <c r="F9" s="67"/>
      <c r="G9" s="67"/>
      <c r="H9" s="67"/>
      <c r="I9" s="67"/>
      <c r="J9" s="67"/>
      <c r="K9" s="68"/>
    </row>
    <row r="10" spans="2:11" ht="25.5" customHeight="1">
      <c r="B10" s="83"/>
      <c r="C10" s="86" t="s">
        <v>163</v>
      </c>
      <c r="D10" s="67"/>
      <c r="E10" s="67"/>
      <c r="F10" s="67"/>
      <c r="G10" s="67"/>
      <c r="H10" s="67"/>
      <c r="I10" s="67"/>
      <c r="J10" s="67"/>
      <c r="K10" s="68"/>
    </row>
    <row r="11" spans="2:11" ht="15.75" customHeight="1">
      <c r="B11" s="84"/>
      <c r="C11" s="86" t="s">
        <v>166</v>
      </c>
      <c r="D11" s="67"/>
      <c r="E11" s="67"/>
      <c r="F11" s="67"/>
      <c r="G11" s="67"/>
      <c r="H11" s="67"/>
      <c r="I11" s="67"/>
      <c r="J11" s="67"/>
      <c r="K11" s="68"/>
    </row>
    <row r="12" spans="2:11" ht="15.75" customHeight="1">
      <c r="B12" s="88" t="s">
        <v>167</v>
      </c>
      <c r="C12" s="86" t="s">
        <v>168</v>
      </c>
      <c r="D12" s="67"/>
      <c r="E12" s="67"/>
      <c r="F12" s="67"/>
      <c r="G12" s="67"/>
      <c r="H12" s="67"/>
      <c r="I12" s="67"/>
      <c r="J12" s="67"/>
      <c r="K12" s="68"/>
    </row>
    <row r="13" spans="2:11" ht="27.75" customHeight="1">
      <c r="B13" s="83"/>
      <c r="C13" s="86" t="s">
        <v>169</v>
      </c>
      <c r="D13" s="67"/>
      <c r="E13" s="67"/>
      <c r="F13" s="67"/>
      <c r="G13" s="67"/>
      <c r="H13" s="67"/>
      <c r="I13" s="67"/>
      <c r="J13" s="67"/>
      <c r="K13" s="68"/>
    </row>
    <row r="14" spans="2:11" ht="27" customHeight="1">
      <c r="B14" s="83"/>
      <c r="C14" s="86" t="s">
        <v>170</v>
      </c>
      <c r="D14" s="67"/>
      <c r="E14" s="67"/>
      <c r="F14" s="67"/>
      <c r="G14" s="67"/>
      <c r="H14" s="67"/>
      <c r="I14" s="67"/>
      <c r="J14" s="67"/>
      <c r="K14" s="68"/>
    </row>
    <row r="15" spans="2:11" ht="18.75" customHeight="1">
      <c r="B15" s="83"/>
      <c r="C15" s="86" t="s">
        <v>172</v>
      </c>
      <c r="D15" s="67"/>
      <c r="E15" s="67"/>
      <c r="F15" s="67"/>
      <c r="G15" s="67"/>
      <c r="H15" s="67"/>
      <c r="I15" s="67"/>
      <c r="J15" s="67"/>
      <c r="K15" s="68"/>
    </row>
    <row r="16" spans="2:11" ht="24.75" customHeight="1">
      <c r="B16" s="82" t="s">
        <v>173</v>
      </c>
      <c r="C16" s="81" t="s">
        <v>174</v>
      </c>
      <c r="D16" s="67"/>
      <c r="E16" s="67"/>
      <c r="F16" s="67"/>
      <c r="G16" s="67"/>
      <c r="H16" s="67"/>
      <c r="I16" s="67"/>
      <c r="J16" s="67"/>
      <c r="K16" s="68"/>
    </row>
    <row r="17" spans="2:11" ht="40.5" customHeight="1">
      <c r="B17" s="83"/>
      <c r="C17" s="81" t="s">
        <v>176</v>
      </c>
      <c r="D17" s="67"/>
      <c r="E17" s="67"/>
      <c r="F17" s="67"/>
      <c r="G17" s="67"/>
      <c r="H17" s="67"/>
      <c r="I17" s="67"/>
      <c r="J17" s="67"/>
      <c r="K17" s="68"/>
    </row>
    <row r="18" spans="2:11" ht="30.75" customHeight="1">
      <c r="B18" s="83"/>
      <c r="C18" s="81" t="s">
        <v>177</v>
      </c>
      <c r="D18" s="67"/>
      <c r="E18" s="67"/>
      <c r="F18" s="67"/>
      <c r="G18" s="67"/>
      <c r="H18" s="67"/>
      <c r="I18" s="67"/>
      <c r="J18" s="67"/>
      <c r="K18" s="68"/>
    </row>
    <row r="19" spans="2:11" ht="25.5" customHeight="1">
      <c r="B19" s="84"/>
      <c r="C19" s="81" t="s">
        <v>178</v>
      </c>
      <c r="D19" s="67"/>
      <c r="E19" s="67"/>
      <c r="F19" s="67"/>
      <c r="G19" s="67"/>
      <c r="H19" s="67"/>
      <c r="I19" s="67"/>
      <c r="J19" s="67"/>
      <c r="K19" s="68"/>
    </row>
    <row r="20" spans="2:11" ht="12.75">
      <c r="B20" s="82" t="s">
        <v>180</v>
      </c>
      <c r="C20" s="81" t="s">
        <v>181</v>
      </c>
      <c r="D20" s="67"/>
      <c r="E20" s="67"/>
      <c r="F20" s="67"/>
      <c r="G20" s="67"/>
      <c r="H20" s="67"/>
      <c r="I20" s="67"/>
      <c r="J20" s="67"/>
      <c r="K20" s="68"/>
    </row>
    <row r="21" spans="2:11" ht="36" customHeight="1">
      <c r="B21" s="83"/>
      <c r="C21" s="81" t="s">
        <v>182</v>
      </c>
      <c r="D21" s="67"/>
      <c r="E21" s="67"/>
      <c r="F21" s="67"/>
      <c r="G21" s="67"/>
      <c r="H21" s="67"/>
      <c r="I21" s="67"/>
      <c r="J21" s="67"/>
      <c r="K21" s="68"/>
    </row>
    <row r="22" spans="2:11" ht="39.75" customHeight="1">
      <c r="B22" s="83"/>
      <c r="C22" s="81" t="s">
        <v>183</v>
      </c>
      <c r="D22" s="67"/>
      <c r="E22" s="67"/>
      <c r="F22" s="67"/>
      <c r="G22" s="67"/>
      <c r="H22" s="67"/>
      <c r="I22" s="67"/>
      <c r="J22" s="67"/>
      <c r="K22" s="68"/>
    </row>
    <row r="23" spans="2:11" ht="36.75" customHeight="1">
      <c r="B23" s="83"/>
      <c r="C23" s="81" t="s">
        <v>184</v>
      </c>
      <c r="D23" s="67"/>
      <c r="E23" s="67"/>
      <c r="F23" s="67"/>
      <c r="G23" s="67"/>
      <c r="H23" s="67"/>
      <c r="I23" s="67"/>
      <c r="J23" s="67"/>
      <c r="K23" s="68"/>
    </row>
    <row r="24" spans="2:11" ht="27.75" customHeight="1">
      <c r="B24" s="83"/>
      <c r="C24" s="81" t="s">
        <v>185</v>
      </c>
      <c r="D24" s="67"/>
      <c r="E24" s="67"/>
      <c r="F24" s="67"/>
      <c r="G24" s="67"/>
      <c r="H24" s="67"/>
      <c r="I24" s="67"/>
      <c r="J24" s="67"/>
      <c r="K24" s="68"/>
    </row>
    <row r="25" spans="2:11" ht="15.75" customHeight="1">
      <c r="B25" s="83"/>
      <c r="C25" s="81" t="s">
        <v>187</v>
      </c>
      <c r="D25" s="67"/>
      <c r="E25" s="67"/>
      <c r="F25" s="67"/>
      <c r="G25" s="67"/>
      <c r="H25" s="67"/>
      <c r="I25" s="67"/>
      <c r="J25" s="67"/>
      <c r="K25" s="68"/>
    </row>
    <row r="26" spans="2:11" ht="27" customHeight="1">
      <c r="B26" s="83"/>
      <c r="C26" s="81" t="s">
        <v>188</v>
      </c>
      <c r="D26" s="67"/>
      <c r="E26" s="67"/>
      <c r="F26" s="67"/>
      <c r="G26" s="67"/>
      <c r="H26" s="67"/>
      <c r="I26" s="67"/>
      <c r="J26" s="67"/>
      <c r="K26" s="68"/>
    </row>
    <row r="27" spans="2:11" ht="27.75" customHeight="1">
      <c r="B27" s="83"/>
      <c r="C27" s="81" t="s">
        <v>189</v>
      </c>
      <c r="D27" s="67"/>
      <c r="E27" s="67"/>
      <c r="F27" s="67"/>
      <c r="G27" s="67"/>
      <c r="H27" s="67"/>
      <c r="I27" s="67"/>
      <c r="J27" s="67"/>
      <c r="K27" s="68"/>
    </row>
    <row r="28" spans="2:11" ht="53.25" customHeight="1">
      <c r="B28" s="83"/>
      <c r="C28" s="81" t="s">
        <v>190</v>
      </c>
      <c r="D28" s="67"/>
      <c r="E28" s="67"/>
      <c r="F28" s="67"/>
      <c r="G28" s="67"/>
      <c r="H28" s="67"/>
      <c r="I28" s="67"/>
      <c r="J28" s="67"/>
      <c r="K28" s="68"/>
    </row>
    <row r="29" spans="2:11" ht="25.5" customHeight="1">
      <c r="B29" s="83"/>
      <c r="C29" s="81" t="s">
        <v>191</v>
      </c>
      <c r="D29" s="67"/>
      <c r="E29" s="67"/>
      <c r="F29" s="67"/>
      <c r="G29" s="67"/>
      <c r="H29" s="67"/>
      <c r="I29" s="67"/>
      <c r="J29" s="67"/>
      <c r="K29" s="68"/>
    </row>
    <row r="30" spans="2:11" ht="27.75" customHeight="1">
      <c r="B30" s="83"/>
      <c r="C30" s="81" t="s">
        <v>192</v>
      </c>
      <c r="D30" s="67"/>
      <c r="E30" s="67"/>
      <c r="F30" s="67"/>
      <c r="G30" s="67"/>
      <c r="H30" s="67"/>
      <c r="I30" s="67"/>
      <c r="J30" s="67"/>
      <c r="K30" s="68"/>
    </row>
    <row r="31" spans="2:11" ht="15.75" customHeight="1">
      <c r="B31" s="83"/>
      <c r="C31" s="81" t="s">
        <v>193</v>
      </c>
      <c r="D31" s="67"/>
      <c r="E31" s="67"/>
      <c r="F31" s="67"/>
      <c r="G31" s="67"/>
      <c r="H31" s="67"/>
      <c r="I31" s="67"/>
      <c r="J31" s="67"/>
      <c r="K31" s="68"/>
    </row>
    <row r="32" spans="2:11" ht="15.75" customHeight="1">
      <c r="B32" s="83"/>
      <c r="C32" s="81" t="s">
        <v>194</v>
      </c>
      <c r="D32" s="67"/>
      <c r="E32" s="67"/>
      <c r="F32" s="67"/>
      <c r="G32" s="67"/>
      <c r="H32" s="67"/>
      <c r="I32" s="67"/>
      <c r="J32" s="67"/>
      <c r="K32" s="68"/>
    </row>
    <row r="33" spans="2:11" ht="55.5" customHeight="1">
      <c r="B33" s="84"/>
      <c r="C33" s="85" t="s">
        <v>195</v>
      </c>
      <c r="D33" s="67"/>
      <c r="E33" s="67"/>
      <c r="F33" s="67"/>
      <c r="G33" s="67"/>
      <c r="H33" s="67"/>
      <c r="I33" s="67"/>
      <c r="J33" s="67"/>
      <c r="K33" s="68"/>
    </row>
    <row r="34" spans="2:11" ht="15.75" customHeight="1"/>
    <row r="35" spans="2:11" ht="15.75" customHeight="1"/>
    <row r="36" spans="2:11" ht="15.75" customHeight="1"/>
    <row r="37" spans="2:11" ht="15.75" customHeight="1"/>
    <row r="38" spans="2:11" ht="15.75" customHeight="1"/>
    <row r="39" spans="2:11" ht="15.75" customHeight="1"/>
    <row r="40" spans="2:11" ht="15.75" customHeight="1"/>
    <row r="41" spans="2:11" ht="15.75" customHeight="1"/>
    <row r="42" spans="2:11" ht="15.75" customHeight="1"/>
    <row r="43" spans="2:11" ht="15.75" customHeight="1"/>
    <row r="44" spans="2:11" ht="15.75" customHeight="1"/>
    <row r="45" spans="2:11" ht="15.75" customHeight="1"/>
    <row r="46" spans="2:11" ht="15.75" customHeight="1"/>
    <row r="47" spans="2:11" ht="15.75" customHeight="1"/>
    <row r="48" spans="2:1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5">
    <mergeCell ref="C5:K5"/>
    <mergeCell ref="C4:K4"/>
    <mergeCell ref="C3:K3"/>
    <mergeCell ref="B12:B15"/>
    <mergeCell ref="B4:B11"/>
    <mergeCell ref="C7:K7"/>
    <mergeCell ref="C6:K6"/>
    <mergeCell ref="C9:K9"/>
    <mergeCell ref="C8:K8"/>
    <mergeCell ref="C12:K12"/>
    <mergeCell ref="C10:K10"/>
    <mergeCell ref="C11:K11"/>
    <mergeCell ref="C15:K15"/>
    <mergeCell ref="C14:K14"/>
    <mergeCell ref="C13:K13"/>
    <mergeCell ref="C17:K17"/>
    <mergeCell ref="C18:K18"/>
    <mergeCell ref="B16:B19"/>
    <mergeCell ref="C16:K16"/>
    <mergeCell ref="C19:K19"/>
    <mergeCell ref="C27:K27"/>
    <mergeCell ref="B20:B33"/>
    <mergeCell ref="C20:K20"/>
    <mergeCell ref="C21:K21"/>
    <mergeCell ref="C26:K26"/>
    <mergeCell ref="C25:K25"/>
    <mergeCell ref="C24:K24"/>
    <mergeCell ref="C23:K23"/>
    <mergeCell ref="C22:K22"/>
    <mergeCell ref="C29:K29"/>
    <mergeCell ref="C28:K28"/>
    <mergeCell ref="C30:K30"/>
    <mergeCell ref="C31:K31"/>
    <mergeCell ref="C33:K33"/>
    <mergeCell ref="C32:K32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SectorAgrícola</vt:lpstr>
      <vt:lpstr>Sector Pecuario</vt:lpstr>
      <vt:lpstr>Sector Industrial</vt:lpstr>
      <vt:lpstr>Sector Domestico</vt:lpstr>
      <vt:lpstr>Referencias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Paola</cp:lastModifiedBy>
  <dcterms:modified xsi:type="dcterms:W3CDTF">2018-08-08T15:15:35Z</dcterms:modified>
</cp:coreProperties>
</file>